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22635" windowHeight="15330" tabRatio="679" activeTab="2"/>
  </bookViews>
  <sheets>
    <sheet name="Fleets" sheetId="1" r:id="rId1"/>
    <sheet name="Ships" sheetId="2" r:id="rId2"/>
    <sheet name="Ship Signatures" sheetId="3" r:id="rId3"/>
    <sheet name="Weapons" sheetId="4" r:id="rId4"/>
    <sheet name="Sensors" sheetId="5" r:id="rId5"/>
    <sheet name="Fighters" sheetId="6" r:id="rId6"/>
    <sheet name="Weapon effects" sheetId="7" r:id="rId7"/>
    <sheet name="Constants" sheetId="8" r:id="rId8"/>
  </sheets>
  <definedNames>
    <definedName name="_xlnm._FilterDatabase" localSheetId="2" hidden="1">'Ship Signatures'!$D$1:$E$155</definedName>
    <definedName name="agile">'Constants'!$C$7</definedName>
    <definedName name="Arc">'Constants'!$J$29:$K$40</definedName>
    <definedName name="armour">'Constants'!$C$4</definedName>
    <definedName name="Back">'Constants'!$C$10</definedName>
    <definedName name="divisor">'Constants'!$C$20</definedName>
    <definedName name="Fighters">'Fighters'!$A$1:$T$41</definedName>
    <definedName name="FireControl">'Constants'!$A$29:$B$43</definedName>
    <definedName name="Flash">'Constants'!$C$16</definedName>
    <definedName name="front">'Constants'!$C$9</definedName>
    <definedName name="gravitic">'Constants'!$C$6</definedName>
    <definedName name="init_bonus">'Constants'!$C$3</definedName>
    <definedName name="Interceptability">'Constants'!$M$29:$N$37</definedName>
    <definedName name="Interceptable">'Constants'!$P$32:$Q$36</definedName>
    <definedName name="main_divisor">'Constants'!$C$20</definedName>
    <definedName name="num_weapons_base">'Constants'!$C$21</definedName>
    <definedName name="num_weapons_mod">'Constants'!$C$22</definedName>
    <definedName name="Pierce">'Constants'!$C$12</definedName>
    <definedName name="Pulse">'Constants'!$C$15</definedName>
    <definedName name="Race">'Constants'!$G$72:$H$83</definedName>
    <definedName name="raking">'Constants'!$C$11</definedName>
    <definedName name="Range">'Constants'!$D$29:$E$51</definedName>
    <definedName name="RoF">'Constants'!$G$29:$H$48</definedName>
    <definedName name="Sensor_calcs">#REF!</definedName>
    <definedName name="Ships">'Ships'!$B:$C</definedName>
    <definedName name="signature">'Constants'!$C$5</definedName>
    <definedName name="size">'Constants'!$A$60:$C$95</definedName>
    <definedName name="standard">'Constants'!$C$14</definedName>
    <definedName name="Sustained">'Constants'!$C$13</definedName>
    <definedName name="tendrils">'Constants'!$C$8</definedName>
    <definedName name="Thrust_base">'Constants'!$C$18</definedName>
    <definedName name="Thrust_div">'Constants'!$C$17</definedName>
    <definedName name="weapon">'Weapons'!$B$7:$C$371</definedName>
    <definedName name="Weapon_mode">'Constants'!$H$6:$K$14</definedName>
    <definedName name="Weapon_power">'Constants'!$C$19</definedName>
    <definedName name="Weapon_range">'Constants'!$T$6:$Z$14</definedName>
    <definedName name="Weapon_size">'Constants'!$N$6:$Q$15</definedName>
    <definedName name="weapon_size_col">'Constants'!$T$18:$U$26</definedName>
    <definedName name="Weapons">'Constants'!$C$19</definedName>
  </definedNames>
  <calcPr fullCalcOnLoad="1"/>
</workbook>
</file>

<file path=xl/sharedStrings.xml><?xml version="1.0" encoding="utf-8"?>
<sst xmlns="http://schemas.openxmlformats.org/spreadsheetml/2006/main" count="5364" uniqueCount="1018">
  <si>
    <t>2d10</t>
  </si>
  <si>
    <t>d 5 x 18</t>
  </si>
  <si>
    <t>Y</t>
  </si>
  <si>
    <t>1</t>
  </si>
  <si>
    <t>Particle</t>
  </si>
  <si>
    <t>ULBB</t>
  </si>
  <si>
    <t>H-af</t>
  </si>
  <si>
    <t>Ultralight Boson Beam</t>
  </si>
  <si>
    <t>Light</t>
  </si>
  <si>
    <t>LBB</t>
  </si>
  <si>
    <t>Light Boson beam</t>
  </si>
  <si>
    <t>1/2</t>
  </si>
  <si>
    <t>Medium</t>
  </si>
  <si>
    <t>MBB</t>
  </si>
  <si>
    <t>Medium Boson Beam</t>
  </si>
  <si>
    <t>1/3</t>
  </si>
  <si>
    <t>Heavy</t>
  </si>
  <si>
    <t>HBB</t>
  </si>
  <si>
    <t>Heavy Boson beam</t>
  </si>
  <si>
    <t>Drakh</t>
  </si>
  <si>
    <t>8d10+8</t>
  </si>
  <si>
    <t>N</t>
  </si>
  <si>
    <t>Laser</t>
  </si>
  <si>
    <t>LMSB-3</t>
  </si>
  <si>
    <t>6d10+6</t>
  </si>
  <si>
    <t>LMSB-2</t>
  </si>
  <si>
    <t>4d10+4</t>
  </si>
  <si>
    <t>LMSB-1</t>
  </si>
  <si>
    <t>Light MSB</t>
  </si>
  <si>
    <t>MSB</t>
  </si>
  <si>
    <t>2d10+2</t>
  </si>
  <si>
    <t>Molecular</t>
  </si>
  <si>
    <t>LMC</t>
  </si>
  <si>
    <t>Light Multiphased Cutter</t>
  </si>
  <si>
    <t>16d10+36</t>
  </si>
  <si>
    <t>MSB-3</t>
  </si>
  <si>
    <t>Molecular Slicer beam</t>
  </si>
  <si>
    <t>12d10+24</t>
  </si>
  <si>
    <t>MSB-2</t>
  </si>
  <si>
    <t>8d10+12</t>
  </si>
  <si>
    <t>MSB-1</t>
  </si>
  <si>
    <t>HPP-90</t>
  </si>
  <si>
    <t>Heavy Phasing Pulse</t>
  </si>
  <si>
    <t>special</t>
  </si>
  <si>
    <t>1/1</t>
  </si>
  <si>
    <t>Ballistic</t>
  </si>
  <si>
    <t>VD</t>
  </si>
  <si>
    <t>Vortex Disrupter</t>
  </si>
  <si>
    <t>3</t>
  </si>
  <si>
    <t>MPC-180</t>
  </si>
  <si>
    <t>Multiphased cutter</t>
  </si>
  <si>
    <t>HPP</t>
  </si>
  <si>
    <t>Ancient</t>
  </si>
  <si>
    <t>d6-1</t>
  </si>
  <si>
    <t>Fig</t>
  </si>
  <si>
    <t>Fighter</t>
  </si>
  <si>
    <t>Anti-matter</t>
  </si>
  <si>
    <t>Zorth</t>
  </si>
  <si>
    <t>d6+1</t>
  </si>
  <si>
    <t>Gorith</t>
  </si>
  <si>
    <t>Tzymm-b</t>
  </si>
  <si>
    <t>Tzymm</t>
  </si>
  <si>
    <t>Pikitos-b</t>
  </si>
  <si>
    <t>Pikitos</t>
  </si>
  <si>
    <t>d6</t>
  </si>
  <si>
    <t>Snake</t>
  </si>
  <si>
    <t>Star Snake</t>
  </si>
  <si>
    <t>Razik</t>
  </si>
  <si>
    <t>Sentri</t>
  </si>
  <si>
    <t>Falkosi</t>
  </si>
  <si>
    <t>d3</t>
  </si>
  <si>
    <t>Badger-b</t>
  </si>
  <si>
    <t>Badger</t>
  </si>
  <si>
    <t>Armour</t>
  </si>
  <si>
    <t>3d6</t>
  </si>
  <si>
    <t>Rutarian</t>
  </si>
  <si>
    <t>2x(d10+4)</t>
  </si>
  <si>
    <t>Tzymm-a</t>
  </si>
  <si>
    <t>d6+2</t>
  </si>
  <si>
    <t>sky-b</t>
  </si>
  <si>
    <t>Sky Serpent</t>
  </si>
  <si>
    <t>d10+12</t>
  </si>
  <si>
    <t>sky-a</t>
  </si>
  <si>
    <t>5d6</t>
  </si>
  <si>
    <t>Pikitos-a</t>
  </si>
  <si>
    <t>Tishat</t>
  </si>
  <si>
    <t>d6+4</t>
  </si>
  <si>
    <t>Nial</t>
  </si>
  <si>
    <t>Frazi</t>
  </si>
  <si>
    <t>Badger-a</t>
  </si>
  <si>
    <t>Fury</t>
  </si>
  <si>
    <t>d6+3</t>
  </si>
  <si>
    <t>Thud</t>
  </si>
  <si>
    <t>Armour -2</t>
  </si>
  <si>
    <t>Fighter Guns</t>
  </si>
  <si>
    <t>-</t>
  </si>
  <si>
    <t>O</t>
  </si>
  <si>
    <t>MRS</t>
  </si>
  <si>
    <t>Class S Missile Rack</t>
  </si>
  <si>
    <t>MRR</t>
  </si>
  <si>
    <t>Class R Missile Rack</t>
  </si>
  <si>
    <t>MRL</t>
  </si>
  <si>
    <t>Class L Missile Rack</t>
  </si>
  <si>
    <t>MRB</t>
  </si>
  <si>
    <t>Class B Missile Rack</t>
  </si>
  <si>
    <t>MRA</t>
  </si>
  <si>
    <t>Class A Missile Rack</t>
  </si>
  <si>
    <t>Missile Racks</t>
  </si>
  <si>
    <t>8</t>
  </si>
  <si>
    <t>B</t>
  </si>
  <si>
    <t>MiFig</t>
  </si>
  <si>
    <t>Fighter Missiles</t>
  </si>
  <si>
    <t>20</t>
  </si>
  <si>
    <t>MiH</t>
  </si>
  <si>
    <t>HARM Missile</t>
  </si>
  <si>
    <t>MiP</t>
  </si>
  <si>
    <t>Piercing Missile</t>
  </si>
  <si>
    <t>15</t>
  </si>
  <si>
    <t>MiL</t>
  </si>
  <si>
    <t>Long Range Missile</t>
  </si>
  <si>
    <t>30</t>
  </si>
  <si>
    <t>Heavy Missile</t>
  </si>
  <si>
    <t>MiF</t>
  </si>
  <si>
    <t>Flash Missile</t>
  </si>
  <si>
    <t>n/a</t>
  </si>
  <si>
    <t>5</t>
  </si>
  <si>
    <t>MiA</t>
  </si>
  <si>
    <t>Anti-fighter missile</t>
  </si>
  <si>
    <t>MiS</t>
  </si>
  <si>
    <t>Basic Missile</t>
  </si>
  <si>
    <t>Missiles (Self guided no EW bonus)</t>
  </si>
  <si>
    <t>Plasma</t>
  </si>
  <si>
    <t>(-1/hex)</t>
  </si>
  <si>
    <t>9d10+20</t>
  </si>
  <si>
    <t>1/5</t>
  </si>
  <si>
    <t>FT</t>
  </si>
  <si>
    <t>Fuser Torpedo</t>
  </si>
  <si>
    <t>2d10+10</t>
  </si>
  <si>
    <t>PT</t>
  </si>
  <si>
    <t>Packet Torpedo</t>
  </si>
  <si>
    <t>10</t>
  </si>
  <si>
    <t>LIT</t>
  </si>
  <si>
    <t>Light Ion Torpedo</t>
  </si>
  <si>
    <t>IT</t>
  </si>
  <si>
    <t>Ion Torpedo</t>
  </si>
  <si>
    <t>2d6</t>
  </si>
  <si>
    <t>2</t>
  </si>
  <si>
    <t>LBT</t>
  </si>
  <si>
    <t>Light Ballistic Torpedo</t>
  </si>
  <si>
    <t>BT</t>
  </si>
  <si>
    <t>Ballistic Torpedo</t>
  </si>
  <si>
    <t>Torpedos (guided by ship's EW)</t>
  </si>
  <si>
    <t>Ignore all EW</t>
  </si>
  <si>
    <t>Attacks - Fgt/Shtl/mine =1 ; Med 1-2 HCV = 2-4 ; Cap = 3-5 ; Enormous = 4-6</t>
  </si>
  <si>
    <t>3/1</t>
  </si>
  <si>
    <t>AF</t>
  </si>
  <si>
    <t>PM</t>
  </si>
  <si>
    <t>Pulsar Mine</t>
  </si>
  <si>
    <t>30/10</t>
  </si>
  <si>
    <t>EM</t>
  </si>
  <si>
    <t>Energy Mine</t>
  </si>
  <si>
    <t>Area effect</t>
  </si>
  <si>
    <t>x&lt;=10</t>
  </si>
  <si>
    <t>x+8</t>
  </si>
  <si>
    <t>APD</t>
  </si>
  <si>
    <t>Anti-proton defender</t>
  </si>
  <si>
    <t>x+12</t>
  </si>
  <si>
    <t>AP</t>
  </si>
  <si>
    <t>Anti-proton gun</t>
  </si>
  <si>
    <t>Raking</t>
  </si>
  <si>
    <t>x&lt;=20</t>
  </si>
  <si>
    <t>2x+16</t>
  </si>
  <si>
    <t>AC</t>
  </si>
  <si>
    <t>Antimatter cannon</t>
  </si>
  <si>
    <t>AC-360</t>
  </si>
  <si>
    <t>Hits all (max 10) hexes in straight line up to range 10</t>
  </si>
  <si>
    <t>Attacks - Fgt/Shtl/mine =1 ; Med/HCV = 1d3 ; Cap = 1d6 ; Enormous = 1d6+3</t>
  </si>
  <si>
    <t xml:space="preserve">Ignore EW &amp; jinking </t>
  </si>
  <si>
    <t>2x+6 (max 10)</t>
  </si>
  <si>
    <t>AS-360</t>
  </si>
  <si>
    <t>Anti-matter Shredder</t>
  </si>
  <si>
    <t>4X+2</t>
  </si>
  <si>
    <t>Acon-360</t>
  </si>
  <si>
    <t>Antimatter Converter</t>
  </si>
  <si>
    <t>Acon</t>
  </si>
  <si>
    <t>Subtract shield factor from to hit &amp; damage</t>
  </si>
  <si>
    <t>Gravity</t>
  </si>
  <si>
    <t>GS</t>
  </si>
  <si>
    <t>Gravity Shield</t>
  </si>
  <si>
    <t>move d6 hexes</t>
  </si>
  <si>
    <t>GN</t>
  </si>
  <si>
    <t>Gravity Net</t>
  </si>
  <si>
    <t>+4power</t>
  </si>
  <si>
    <t>+2power</t>
  </si>
  <si>
    <t>12</t>
  </si>
  <si>
    <t xml:space="preserve">9 </t>
  </si>
  <si>
    <t>Gbolt</t>
  </si>
  <si>
    <t>Gravitic Bolt</t>
  </si>
  <si>
    <t>d3+1 x 10</t>
  </si>
  <si>
    <t>GP-60</t>
  </si>
  <si>
    <t>Graviton Pulsar 60</t>
  </si>
  <si>
    <t>GP-240</t>
  </si>
  <si>
    <t>Graviton Pulsar 240</t>
  </si>
  <si>
    <t>GP-180</t>
  </si>
  <si>
    <t>Graviton Pulsar 180</t>
  </si>
  <si>
    <t>GP</t>
  </si>
  <si>
    <t>Graviton Pulsar</t>
  </si>
  <si>
    <t>Gravitic Shifter</t>
  </si>
  <si>
    <t>d10 + 6</t>
  </si>
  <si>
    <t>GC</t>
  </si>
  <si>
    <t>Gravitic Cannon</t>
  </si>
  <si>
    <t>6d10+24</t>
  </si>
  <si>
    <t>1/4</t>
  </si>
  <si>
    <t>Mega</t>
  </si>
  <si>
    <t>GL</t>
  </si>
  <si>
    <t>Gravitic Lance</t>
  </si>
  <si>
    <t>LGB</t>
  </si>
  <si>
    <t>Light Graviton Beam</t>
  </si>
  <si>
    <t>MGB</t>
  </si>
  <si>
    <t>Medium Graviton Beam</t>
  </si>
  <si>
    <t>5d10 + 12</t>
  </si>
  <si>
    <t>GB-60</t>
  </si>
  <si>
    <t>Graviton Beam</t>
  </si>
  <si>
    <t>GB</t>
  </si>
  <si>
    <t>Standard</t>
  </si>
  <si>
    <t>6d10+70</t>
  </si>
  <si>
    <t>7d10+100</t>
  </si>
  <si>
    <t>1/90</t>
  </si>
  <si>
    <t>MG</t>
  </si>
  <si>
    <t>Victory Main Gun</t>
  </si>
  <si>
    <t>Electro</t>
  </si>
  <si>
    <t>dropout</t>
  </si>
  <si>
    <t>E-mag</t>
  </si>
  <si>
    <t>EP</t>
  </si>
  <si>
    <t>Electro-pulse gun</t>
  </si>
  <si>
    <t>dropout/power</t>
  </si>
  <si>
    <t>Shk</t>
  </si>
  <si>
    <t>Shock Cannon</t>
  </si>
  <si>
    <t>2/1</t>
  </si>
  <si>
    <t>BB-180</t>
  </si>
  <si>
    <t>Burst Beam</t>
  </si>
  <si>
    <t>BB</t>
  </si>
  <si>
    <t>Electro-magnetic</t>
  </si>
  <si>
    <t>F</t>
  </si>
  <si>
    <t>PI</t>
  </si>
  <si>
    <t>ParticIe Impeder</t>
  </si>
  <si>
    <t>d10 + 5</t>
  </si>
  <si>
    <t>GA-360</t>
  </si>
  <si>
    <t>Guardian Array</t>
  </si>
  <si>
    <t>GA</t>
  </si>
  <si>
    <t xml:space="preserve">2d10 + 6 </t>
  </si>
  <si>
    <t>H-AF</t>
  </si>
  <si>
    <t>HI</t>
  </si>
  <si>
    <t>Heavy Interceptor</t>
  </si>
  <si>
    <t>d10 + 8</t>
  </si>
  <si>
    <t>Int2-180</t>
  </si>
  <si>
    <t>Interceptor Mk-II (180 deg)</t>
  </si>
  <si>
    <t>Int2</t>
  </si>
  <si>
    <t>Interceptor Mk-II</t>
  </si>
  <si>
    <t>Int1</t>
  </si>
  <si>
    <t>Interceptor Mk-I</t>
  </si>
  <si>
    <t>Interceptors</t>
  </si>
  <si>
    <t>Matter</t>
  </si>
  <si>
    <t>2d10 + 2</t>
  </si>
  <si>
    <t>2/3</t>
  </si>
  <si>
    <t>MC</t>
  </si>
  <si>
    <t>Matter Cannon</t>
  </si>
  <si>
    <t>3d10 + 3</t>
  </si>
  <si>
    <t>R</t>
  </si>
  <si>
    <t>Railgun</t>
  </si>
  <si>
    <t>Ignores armour</t>
  </si>
  <si>
    <t>Std</t>
  </si>
  <si>
    <t>d10 + 9</t>
  </si>
  <si>
    <t>FC</t>
  </si>
  <si>
    <t>Fusion Cannon</t>
  </si>
  <si>
    <t>2d10+30</t>
  </si>
  <si>
    <t>MD</t>
  </si>
  <si>
    <t>Molecular Disrupter</t>
  </si>
  <si>
    <t>PW</t>
  </si>
  <si>
    <t>Plasma Web</t>
  </si>
  <si>
    <t>** = 10 pulses lose pulse if change target</t>
  </si>
  <si>
    <t>* = 5 pulses lose pulse if change target</t>
  </si>
  <si>
    <t xml:space="preserve">d 5 x 8 </t>
  </si>
  <si>
    <t>4</t>
  </si>
  <si>
    <t>LP-240</t>
  </si>
  <si>
    <t>Light Pulse*</t>
  </si>
  <si>
    <t>LP-180</t>
  </si>
  <si>
    <t>LP</t>
  </si>
  <si>
    <t>2d6 + 1</t>
  </si>
  <si>
    <t>Sc</t>
  </si>
  <si>
    <t>Scattergun</t>
  </si>
  <si>
    <t>d10+4</t>
  </si>
  <si>
    <t>TA-180</t>
  </si>
  <si>
    <t>Twin Array</t>
  </si>
  <si>
    <t>TA-240</t>
  </si>
  <si>
    <t>TA-360</t>
  </si>
  <si>
    <t>TA</t>
  </si>
  <si>
    <t>d10 + 4</t>
  </si>
  <si>
    <t>LPB</t>
  </si>
  <si>
    <t>LPB (blaster)</t>
  </si>
  <si>
    <t>6 x 5</t>
  </si>
  <si>
    <t>LMolP</t>
  </si>
  <si>
    <t>Light Molecular Pulse</t>
  </si>
  <si>
    <t>10 x 5</t>
  </si>
  <si>
    <t>LGMP</t>
  </si>
  <si>
    <t>Light Gatling Molecular Pulse**</t>
  </si>
  <si>
    <t xml:space="preserve"> </t>
  </si>
  <si>
    <t>Anti-fighter</t>
  </si>
  <si>
    <t>PlaBat</t>
  </si>
  <si>
    <t>Plasma battery</t>
  </si>
  <si>
    <t>8d10+10</t>
  </si>
  <si>
    <t>Mag</t>
  </si>
  <si>
    <t>6d10+8</t>
  </si>
  <si>
    <t>DPS</t>
  </si>
  <si>
    <t>Dual Plasma Stream</t>
  </si>
  <si>
    <t>3d10+4</t>
  </si>
  <si>
    <t>PS</t>
  </si>
  <si>
    <t>Plasma Stream</t>
  </si>
  <si>
    <t>d10 +4</t>
  </si>
  <si>
    <t>2d10 +8</t>
  </si>
  <si>
    <t>4d10 +12</t>
  </si>
  <si>
    <t>PA</t>
  </si>
  <si>
    <t>Plasma Accelerator</t>
  </si>
  <si>
    <t>(-1/2hex)</t>
  </si>
  <si>
    <t>3d10 +4</t>
  </si>
  <si>
    <t>MPla</t>
  </si>
  <si>
    <t>Med Plasma Cannon</t>
  </si>
  <si>
    <t>4d10+10</t>
  </si>
  <si>
    <t>4d10 +8</t>
  </si>
  <si>
    <t>Hpla-60</t>
  </si>
  <si>
    <t>Hvy Plasma Cannon</t>
  </si>
  <si>
    <t>Hpla</t>
  </si>
  <si>
    <t>MegPla</t>
  </si>
  <si>
    <t>Mega Plasma Cannon</t>
  </si>
  <si>
    <t>half armour but -1 per 2 hexes</t>
  </si>
  <si>
    <t>LPA-60</t>
  </si>
  <si>
    <t>Laser pulse array</t>
  </si>
  <si>
    <t>LPA</t>
  </si>
  <si>
    <t>HLP-90</t>
  </si>
  <si>
    <t>Heavy Laser Pulse</t>
  </si>
  <si>
    <t>* = 5 pulses</t>
  </si>
  <si>
    <t>5 x 8</t>
  </si>
  <si>
    <t xml:space="preserve">d 5 x 10 </t>
  </si>
  <si>
    <t>MP</t>
  </si>
  <si>
    <t>Medium Pulse*</t>
  </si>
  <si>
    <t>5 x 10</t>
  </si>
  <si>
    <t>d 5 x 15</t>
  </si>
  <si>
    <t>HP-60</t>
  </si>
  <si>
    <t>Heavy Pulse* (60 deg)</t>
  </si>
  <si>
    <t>HP-90</t>
  </si>
  <si>
    <t>Heavy Pulse* (90 deg)</t>
  </si>
  <si>
    <t>HP</t>
  </si>
  <si>
    <t>Heavy Pulse*</t>
  </si>
  <si>
    <t>d 5 x 10</t>
  </si>
  <si>
    <t>MolP-60</t>
  </si>
  <si>
    <t>Molecular Pulsar</t>
  </si>
  <si>
    <t>MolP</t>
  </si>
  <si>
    <t>6 x 8</t>
  </si>
  <si>
    <t>MGMP</t>
  </si>
  <si>
    <t>Medium Gatling Molecular Pulse**</t>
  </si>
  <si>
    <t>6 x 12</t>
  </si>
  <si>
    <t>HMolP-240</t>
  </si>
  <si>
    <t>Heavy Molecular Pulse</t>
  </si>
  <si>
    <t>(Dmg -16)</t>
  </si>
  <si>
    <t>Pulse</t>
  </si>
  <si>
    <t>2d10+6</t>
  </si>
  <si>
    <t>HA-240</t>
  </si>
  <si>
    <t>Heavy Array</t>
  </si>
  <si>
    <t>HA</t>
  </si>
  <si>
    <t>U-Light</t>
  </si>
  <si>
    <t>Prep-180</t>
  </si>
  <si>
    <t>Particle Repeater</t>
  </si>
  <si>
    <t>Prep</t>
  </si>
  <si>
    <t>Pbla-240</t>
  </si>
  <si>
    <t>Particle Blaster</t>
  </si>
  <si>
    <t>Pbla</t>
  </si>
  <si>
    <t>2d10+12</t>
  </si>
  <si>
    <t>Pcut-240</t>
  </si>
  <si>
    <t>Particle Cutter</t>
  </si>
  <si>
    <t>Pcut-180</t>
  </si>
  <si>
    <t>Pcut</t>
  </si>
  <si>
    <t>2d10+15</t>
  </si>
  <si>
    <t>PC-180</t>
  </si>
  <si>
    <t>Particle cannon</t>
  </si>
  <si>
    <t>PC</t>
  </si>
  <si>
    <t>Pcon</t>
  </si>
  <si>
    <t>Particle Concetrator</t>
  </si>
  <si>
    <t>* Repeat damage on structure. Reduce armour by 2</t>
  </si>
  <si>
    <t>d5+ 12</t>
  </si>
  <si>
    <t>SC-180</t>
  </si>
  <si>
    <t>Solar Cannon*</t>
  </si>
  <si>
    <t>SC</t>
  </si>
  <si>
    <t>QPB</t>
  </si>
  <si>
    <t>Quad PB (blaster)</t>
  </si>
  <si>
    <t>SPB-180</t>
  </si>
  <si>
    <t>SPB (blaster)</t>
  </si>
  <si>
    <t>SPB</t>
  </si>
  <si>
    <t>HPB</t>
  </si>
  <si>
    <t>HPB (blaster)</t>
  </si>
  <si>
    <t>6d10 + 60</t>
  </si>
  <si>
    <t>1/6</t>
  </si>
  <si>
    <t>HPC</t>
  </si>
  <si>
    <t>Heavy particle cannon</t>
  </si>
  <si>
    <t>Pierce</t>
  </si>
  <si>
    <t>3d10+20</t>
  </si>
  <si>
    <t>CL</t>
  </si>
  <si>
    <t>Combat Laser</t>
  </si>
  <si>
    <t>2d10+7</t>
  </si>
  <si>
    <t>LL</t>
  </si>
  <si>
    <t>Light Laser</t>
  </si>
  <si>
    <t>3d10+12</t>
  </si>
  <si>
    <t>ML-180</t>
  </si>
  <si>
    <t>Medium Laser</t>
  </si>
  <si>
    <t>ML</t>
  </si>
  <si>
    <t>4d10+12</t>
  </si>
  <si>
    <t>BL</t>
  </si>
  <si>
    <t>Battle Laser</t>
  </si>
  <si>
    <t>4d10+20</t>
  </si>
  <si>
    <t>HL-60</t>
  </si>
  <si>
    <t>Heavy Laser (60 deg)</t>
  </si>
  <si>
    <t>HL-90</t>
  </si>
  <si>
    <t>Heavy Laser (90 deg)</t>
  </si>
  <si>
    <t>HL</t>
  </si>
  <si>
    <t>Heavy Laser</t>
  </si>
  <si>
    <t>4d10+18</t>
  </si>
  <si>
    <t>Nci-60</t>
  </si>
  <si>
    <t>Neutron Cannon imp.(60)</t>
  </si>
  <si>
    <t>Nci</t>
  </si>
  <si>
    <t>Neutron Cannon imp.</t>
  </si>
  <si>
    <t>4d10+15</t>
  </si>
  <si>
    <t>NC</t>
  </si>
  <si>
    <t>Neutron Cannon</t>
  </si>
  <si>
    <t>2d10+17</t>
  </si>
  <si>
    <t>LNC-60</t>
  </si>
  <si>
    <t>Light Neutron Cannon</t>
  </si>
  <si>
    <t>LNC-240</t>
  </si>
  <si>
    <t>(Dmg -8)</t>
  </si>
  <si>
    <t>(-armour)</t>
  </si>
  <si>
    <t>to use</t>
  </si>
  <si>
    <t>Mod</t>
  </si>
  <si>
    <t>cntrl</t>
  </si>
  <si>
    <t>RoF</t>
  </si>
  <si>
    <t>power</t>
  </si>
  <si>
    <t>mod</t>
  </si>
  <si>
    <t xml:space="preserve"> damage</t>
  </si>
  <si>
    <t>damage</t>
  </si>
  <si>
    <t>able</t>
  </si>
  <si>
    <t>Calc</t>
  </si>
  <si>
    <t>Range</t>
  </si>
  <si>
    <t>Flash</t>
  </si>
  <si>
    <t>Sust.</t>
  </si>
  <si>
    <t>Rak</t>
  </si>
  <si>
    <t>size</t>
  </si>
  <si>
    <t>Abbr.</t>
  </si>
  <si>
    <t>Value</t>
  </si>
  <si>
    <t>Intercept</t>
  </si>
  <si>
    <t>Beam</t>
  </si>
  <si>
    <t xml:space="preserve">Arc </t>
  </si>
  <si>
    <t>fire</t>
  </si>
  <si>
    <t>Dmg /</t>
  </si>
  <si>
    <t>Power</t>
  </si>
  <si>
    <t>effective</t>
  </si>
  <si>
    <t>Avg Dmg</t>
  </si>
  <si>
    <t xml:space="preserve">New </t>
  </si>
  <si>
    <t>Damage</t>
  </si>
  <si>
    <t>Intercept-</t>
  </si>
  <si>
    <t>Arc</t>
  </si>
  <si>
    <t>Agl</t>
  </si>
  <si>
    <t>Agile</t>
  </si>
  <si>
    <t>Capital</t>
  </si>
  <si>
    <t>calc</t>
  </si>
  <si>
    <t>Int</t>
  </si>
  <si>
    <t>Weapon</t>
  </si>
  <si>
    <t>Mode</t>
  </si>
  <si>
    <t>WEAPON</t>
  </si>
  <si>
    <t>Points</t>
  </si>
  <si>
    <t>Weapon Tables</t>
  </si>
  <si>
    <t>Ship</t>
  </si>
  <si>
    <t>No. of Fighters</t>
  </si>
  <si>
    <t>Fighters</t>
  </si>
  <si>
    <t>Thrust</t>
  </si>
  <si>
    <t>Accel</t>
  </si>
  <si>
    <t>Gravitic</t>
  </si>
  <si>
    <t>Sig</t>
  </si>
  <si>
    <t>Sensors</t>
  </si>
  <si>
    <t>Init</t>
  </si>
  <si>
    <t>Primary</t>
  </si>
  <si>
    <t>Front</t>
  </si>
  <si>
    <t>Back</t>
  </si>
  <si>
    <t>Side</t>
  </si>
  <si>
    <t>Weapons</t>
  </si>
  <si>
    <t>bonus</t>
  </si>
  <si>
    <t>Total</t>
  </si>
  <si>
    <t>jammers</t>
  </si>
  <si>
    <t>Earth</t>
  </si>
  <si>
    <t>Artemis</t>
  </si>
  <si>
    <t>Hermes</t>
  </si>
  <si>
    <t>Hyperion</t>
  </si>
  <si>
    <t>Nova</t>
  </si>
  <si>
    <t>Olympus</t>
  </si>
  <si>
    <t>tendrils</t>
  </si>
  <si>
    <t>bleeding</t>
  </si>
  <si>
    <t>Poseidon</t>
  </si>
  <si>
    <t>Sagittarius</t>
  </si>
  <si>
    <t>Tethys</t>
  </si>
  <si>
    <t>Tethys Leader + squad</t>
  </si>
  <si>
    <t>Warlock</t>
  </si>
  <si>
    <t>Thud (missiles)</t>
  </si>
  <si>
    <t>Minbari</t>
  </si>
  <si>
    <t>Ashinta</t>
  </si>
  <si>
    <t>Grey Sharlin</t>
  </si>
  <si>
    <t>Morshin</t>
  </si>
  <si>
    <t>Neshatan</t>
  </si>
  <si>
    <t>Shantavi</t>
  </si>
  <si>
    <t>Shargotti</t>
  </si>
  <si>
    <t>Sharlin</t>
  </si>
  <si>
    <t>Tigara</t>
  </si>
  <si>
    <t>Tigarin</t>
  </si>
  <si>
    <t>Tinashi</t>
  </si>
  <si>
    <t>Torotha</t>
  </si>
  <si>
    <t>Troligan</t>
  </si>
  <si>
    <t>White Star</t>
  </si>
  <si>
    <t>Centauri</t>
  </si>
  <si>
    <t>Altarian</t>
  </si>
  <si>
    <t>Balvarin</t>
  </si>
  <si>
    <t>Centurion</t>
  </si>
  <si>
    <t>Dargan</t>
  </si>
  <si>
    <t>Darkner</t>
  </si>
  <si>
    <t>Demos</t>
  </si>
  <si>
    <t>Haven</t>
  </si>
  <si>
    <t>Kutai</t>
  </si>
  <si>
    <t>Maximus</t>
  </si>
  <si>
    <t>Mograth</t>
  </si>
  <si>
    <t>Octurion</t>
  </si>
  <si>
    <t>Primus</t>
  </si>
  <si>
    <t>Sulust</t>
  </si>
  <si>
    <t>Vorchan</t>
  </si>
  <si>
    <t>Narn</t>
  </si>
  <si>
    <t>Ka'Tan</t>
  </si>
  <si>
    <t>Rongoth</t>
  </si>
  <si>
    <t>Thentus</t>
  </si>
  <si>
    <t>HPla-60</t>
  </si>
  <si>
    <t>T'Rann</t>
  </si>
  <si>
    <t>Brakiri</t>
  </si>
  <si>
    <t>Avioki</t>
  </si>
  <si>
    <t>Brikorta</t>
  </si>
  <si>
    <t>Brokados</t>
  </si>
  <si>
    <t>Cidikar</t>
  </si>
  <si>
    <t>Corumai</t>
  </si>
  <si>
    <t>Tashkat</t>
  </si>
  <si>
    <t>Takata</t>
  </si>
  <si>
    <t>Halik</t>
  </si>
  <si>
    <t>Haltona</t>
  </si>
  <si>
    <t>Ikorta</t>
  </si>
  <si>
    <t>Lykorai</t>
  </si>
  <si>
    <t>Drazi</t>
  </si>
  <si>
    <t>Firefalcon</t>
  </si>
  <si>
    <t>Warbird</t>
  </si>
  <si>
    <t>Jumphawk</t>
  </si>
  <si>
    <t>Sunhawk</t>
  </si>
  <si>
    <t>Stareagle</t>
  </si>
  <si>
    <t>Wareagle</t>
  </si>
  <si>
    <t>Strikehawk</t>
  </si>
  <si>
    <t>Stormfalcon</t>
  </si>
  <si>
    <t>NightFalcon</t>
  </si>
  <si>
    <t>Sky-b</t>
  </si>
  <si>
    <t>Sky serpent</t>
  </si>
  <si>
    <t>Pak'ma'ra</t>
  </si>
  <si>
    <t>Mpla</t>
  </si>
  <si>
    <t>Pshu'shi</t>
  </si>
  <si>
    <t>Thar'not'ak</t>
  </si>
  <si>
    <t>Vree</t>
  </si>
  <si>
    <t>Vaarl</t>
  </si>
  <si>
    <t>Vymish</t>
  </si>
  <si>
    <t>Xill</t>
  </si>
  <si>
    <t>Xonn</t>
  </si>
  <si>
    <t>Xorr</t>
  </si>
  <si>
    <t>Xeel</t>
  </si>
  <si>
    <t>Xurr</t>
  </si>
  <si>
    <t>Shadow</t>
  </si>
  <si>
    <t>Cruiser</t>
  </si>
  <si>
    <t>Destroyer</t>
  </si>
  <si>
    <t>Strike Destroyer</t>
  </si>
  <si>
    <t xml:space="preserve">Vorlon </t>
  </si>
  <si>
    <t>Heavy Cruiser</t>
  </si>
  <si>
    <t>Cost</t>
  </si>
  <si>
    <t>Number</t>
  </si>
  <si>
    <r>
      <t>Sensor u</t>
    </r>
    <r>
      <rPr>
        <u val="single"/>
        <sz val="10"/>
        <rFont val="Arial"/>
        <family val="2"/>
      </rPr>
      <t>pgrade</t>
    </r>
  </si>
  <si>
    <t>Cost * Number</t>
  </si>
  <si>
    <t>Race</t>
  </si>
  <si>
    <t>Calculated final sig.</t>
  </si>
  <si>
    <t>Type</t>
  </si>
  <si>
    <t>Calc Type</t>
  </si>
  <si>
    <t>Ultra</t>
  </si>
  <si>
    <t>Med</t>
  </si>
  <si>
    <t xml:space="preserve">Light </t>
  </si>
  <si>
    <t>Flight</t>
  </si>
  <si>
    <t>Elint</t>
  </si>
  <si>
    <t>Trade</t>
  </si>
  <si>
    <t>Other reason</t>
  </si>
  <si>
    <t>Other mod</t>
  </si>
  <si>
    <t>Calculated size</t>
  </si>
  <si>
    <t>Calculatedsig</t>
  </si>
  <si>
    <t>Accn cost</t>
  </si>
  <si>
    <t xml:space="preserve">Accn </t>
  </si>
  <si>
    <t>Accn adjust</t>
  </si>
  <si>
    <t>Stlth or</t>
  </si>
  <si>
    <t>Calc final sig</t>
  </si>
  <si>
    <t>Old arm.</t>
  </si>
  <si>
    <t>Armr.</t>
  </si>
  <si>
    <t>Shld</t>
  </si>
  <si>
    <t>HCV</t>
  </si>
  <si>
    <t>14-15</t>
  </si>
  <si>
    <t>Avenger</t>
  </si>
  <si>
    <t>Enormous</t>
  </si>
  <si>
    <t>14-17</t>
  </si>
  <si>
    <t>Babylon 5</t>
  </si>
  <si>
    <t>Base</t>
  </si>
  <si>
    <t>20-24</t>
  </si>
  <si>
    <t>Explorer</t>
  </si>
  <si>
    <t>18-20</t>
  </si>
  <si>
    <t>Carrier</t>
  </si>
  <si>
    <t>14-16</t>
  </si>
  <si>
    <t>16-17</t>
  </si>
  <si>
    <t>Omega</t>
  </si>
  <si>
    <t>16-18</t>
  </si>
  <si>
    <t xml:space="preserve">Oracle </t>
  </si>
  <si>
    <t>13-16</t>
  </si>
  <si>
    <t>Orestes</t>
  </si>
  <si>
    <t>Orion</t>
  </si>
  <si>
    <t xml:space="preserve">Poseidon </t>
  </si>
  <si>
    <t>16-19</t>
  </si>
  <si>
    <t>LCV</t>
  </si>
  <si>
    <t>Tethysb (lase)</t>
  </si>
  <si>
    <t>Victory</t>
  </si>
  <si>
    <t>19-15</t>
  </si>
  <si>
    <t>OSAT – Hvy</t>
  </si>
  <si>
    <t>OSAT</t>
  </si>
  <si>
    <t>OSAT – Std</t>
  </si>
  <si>
    <t>(Tech)</t>
  </si>
  <si>
    <t>15-19</t>
  </si>
  <si>
    <t>(jammers)</t>
  </si>
  <si>
    <t>Leshath</t>
  </si>
  <si>
    <t>15-17</t>
  </si>
  <si>
    <t xml:space="preserve">Morshin </t>
  </si>
  <si>
    <t xml:space="preserve">Rogata </t>
  </si>
  <si>
    <t>17-17</t>
  </si>
  <si>
    <t>16-20</t>
  </si>
  <si>
    <t>Trolligan</t>
  </si>
  <si>
    <t>Whitestar</t>
  </si>
  <si>
    <t>13-14</t>
  </si>
  <si>
    <t>9</t>
  </si>
  <si>
    <t>Blavarian</t>
  </si>
  <si>
    <t>16</t>
  </si>
  <si>
    <t>6/5</t>
  </si>
  <si>
    <t>5/4</t>
  </si>
  <si>
    <t>Covran</t>
  </si>
  <si>
    <t>15-16</t>
  </si>
  <si>
    <t>13</t>
  </si>
  <si>
    <t>12-14</t>
  </si>
  <si>
    <t>4/3</t>
  </si>
  <si>
    <t>11-12</t>
  </si>
  <si>
    <t>Kraken</t>
  </si>
  <si>
    <t>14</t>
  </si>
  <si>
    <t>Lias</t>
  </si>
  <si>
    <t>5 shuttles</t>
  </si>
  <si>
    <t xml:space="preserve">Marcanos </t>
  </si>
  <si>
    <t>18</t>
  </si>
  <si>
    <t>12-13</t>
  </si>
  <si>
    <t>17</t>
  </si>
  <si>
    <t xml:space="preserve">Arcimus </t>
  </si>
  <si>
    <t>4/5</t>
  </si>
  <si>
    <t>Bin’Tak</t>
  </si>
  <si>
    <t>Dag’Kar</t>
  </si>
  <si>
    <t>G’Karith</t>
  </si>
  <si>
    <t>G’Quan</t>
  </si>
  <si>
    <t>G’Quonth</t>
  </si>
  <si>
    <t>Ka’Toc</t>
  </si>
  <si>
    <t>12-15</t>
  </si>
  <si>
    <t>Sho’kar</t>
  </si>
  <si>
    <t>Sho’Kos</t>
  </si>
  <si>
    <t>10-12</t>
  </si>
  <si>
    <t>T’Loth (2 marines)</t>
  </si>
  <si>
    <t>Var’Nic</t>
  </si>
  <si>
    <t>14-18</t>
  </si>
  <si>
    <t>(Shields)</t>
  </si>
  <si>
    <t>7/6</t>
  </si>
  <si>
    <t>Cap</t>
  </si>
  <si>
    <t>Nightfalcon</t>
  </si>
  <si>
    <t>Solarhawk</t>
  </si>
  <si>
    <t>Pakmara</t>
  </si>
  <si>
    <t>Pshul’shi</t>
  </si>
  <si>
    <t>batteries</t>
  </si>
  <si>
    <t>Resh’kas</t>
  </si>
  <si>
    <t>Sim’sall’e</t>
  </si>
  <si>
    <t>Urik’hal</t>
  </si>
  <si>
    <t>Tra’shu’li</t>
  </si>
  <si>
    <t>Wibble</t>
  </si>
  <si>
    <t>(size)</t>
  </si>
  <si>
    <t>Dreadnaught</t>
  </si>
  <si>
    <t>17-18</t>
  </si>
  <si>
    <t>Vorlon</t>
  </si>
  <si>
    <t>Battle destroyer</t>
  </si>
  <si>
    <t>Destroyer escort</t>
  </si>
  <si>
    <t>18-21</t>
  </si>
  <si>
    <t>Light cruiser</t>
  </si>
  <si>
    <t>15-18</t>
  </si>
  <si>
    <t>Heavy carrier</t>
  </si>
  <si>
    <t>Light carrier</t>
  </si>
  <si>
    <t>Class</t>
  </si>
  <si>
    <t>Guns</t>
  </si>
  <si>
    <t>Old damage</t>
  </si>
  <si>
    <t xml:space="preserve">Old Off. </t>
  </si>
  <si>
    <t>EW</t>
  </si>
  <si>
    <t>Sig old</t>
  </si>
  <si>
    <t>Sig base</t>
  </si>
  <si>
    <t>Thrust mod</t>
  </si>
  <si>
    <t>Fire ctrl</t>
  </si>
  <si>
    <t>Other sig. reason</t>
  </si>
  <si>
    <t>D6+4</t>
  </si>
  <si>
    <t>6-8</t>
  </si>
  <si>
    <t xml:space="preserve"> 3/5/8</t>
  </si>
  <si>
    <t>2d6+6</t>
  </si>
  <si>
    <t>D6+3</t>
  </si>
  <si>
    <t>7-8</t>
  </si>
  <si>
    <t>D6+1
d3+1</t>
  </si>
  <si>
    <t>6-9</t>
  </si>
  <si>
    <t xml:space="preserve"> 3/5/7</t>
  </si>
  <si>
    <t>6-7</t>
  </si>
  <si>
    <t xml:space="preserve"> 3/5/9</t>
  </si>
  <si>
    <t>D6+2</t>
  </si>
  <si>
    <t>D6</t>
  </si>
  <si>
    <t>5-7</t>
  </si>
  <si>
    <t>Double heart -1</t>
  </si>
  <si>
    <t>D6+1</t>
  </si>
  <si>
    <t>D6-1</t>
  </si>
  <si>
    <t>5-6</t>
  </si>
  <si>
    <r>
      <t xml:space="preserve">Heavy </t>
    </r>
    <r>
      <rPr>
        <sz val="12"/>
        <rFont val="Times New Roman"/>
        <family val="1"/>
      </rPr>
      <t>Medium</t>
    </r>
  </si>
  <si>
    <t>2
1</t>
  </si>
  <si>
    <t>D6+2
3d6</t>
  </si>
  <si>
    <t>D6
3d6</t>
  </si>
  <si>
    <t>4-6</t>
  </si>
  <si>
    <t>Double heart -1 Stealth (-2)</t>
  </si>
  <si>
    <t>D6+5</t>
  </si>
  <si>
    <t>7-9</t>
  </si>
  <si>
    <t>Super heavy</t>
  </si>
  <si>
    <t>D6+2
D10+12</t>
  </si>
  <si>
    <t>9-10</t>
  </si>
  <si>
    <t xml:space="preserve"> 4/6/7</t>
  </si>
  <si>
    <t>D3+5</t>
  </si>
  <si>
    <r>
      <t xml:space="preserve">Super </t>
    </r>
    <r>
      <rPr>
        <sz val="12"/>
        <rFont val="Times New Roman"/>
        <family val="1"/>
      </rPr>
      <t>Heavy</t>
    </r>
  </si>
  <si>
    <t>5
5d6</t>
  </si>
  <si>
    <t>2d6-1
2x(d10+4)</t>
  </si>
  <si>
    <t xml:space="preserve"> 4/5/6</t>
  </si>
  <si>
    <t>2d6-1</t>
  </si>
  <si>
    <t>6</t>
  </si>
  <si>
    <t>Other</t>
  </si>
  <si>
    <t>Raider</t>
  </si>
  <si>
    <t xml:space="preserve"> 3/5/6</t>
  </si>
  <si>
    <t>Low tech (+1)</t>
  </si>
  <si>
    <t>(2d6+2)x2</t>
  </si>
  <si>
    <t>(D6+2)x2</t>
  </si>
  <si>
    <t>7</t>
  </si>
  <si>
    <t xml:space="preserve"> 4/7/9</t>
  </si>
  <si>
    <t>Ancient (-1)</t>
  </si>
  <si>
    <t>D6+6</t>
  </si>
  <si>
    <t>Base/scout</t>
  </si>
  <si>
    <t>S Hvy</t>
  </si>
  <si>
    <t>Trader</t>
  </si>
  <si>
    <t>Size</t>
  </si>
  <si>
    <t>In service</t>
  </si>
  <si>
    <t>New sensors</t>
  </si>
  <si>
    <t>Capital Sensor tech level</t>
  </si>
  <si>
    <t>Date sensor tech reached</t>
  </si>
  <si>
    <t>trader</t>
  </si>
  <si>
    <t>Nova (Alpha)</t>
  </si>
  <si>
    <t>Hyperion (alpha)</t>
  </si>
  <si>
    <t>6+</t>
  </si>
  <si>
    <t>scout</t>
  </si>
  <si>
    <t>Nova (beta)</t>
  </si>
  <si>
    <t>Starfury</t>
  </si>
  <si>
    <t>special crap ship</t>
  </si>
  <si>
    <t>command</t>
  </si>
  <si>
    <t>Thunderbolt</t>
  </si>
  <si>
    <t>Apollo</t>
  </si>
  <si>
    <t>Delphi</t>
  </si>
  <si>
    <t>HCV-Tug</t>
  </si>
  <si>
    <t>tug</t>
  </si>
  <si>
    <t>carrier</t>
  </si>
  <si>
    <t>special good</t>
  </si>
  <si>
    <t>Special vorlon tech</t>
  </si>
  <si>
    <t>Razarik</t>
  </si>
  <si>
    <t>Sitara</t>
  </si>
  <si>
    <t>SH Fighter</t>
  </si>
  <si>
    <t>skipped 9</t>
  </si>
  <si>
    <t>Fanged Serpent</t>
  </si>
  <si>
    <t>Por'fa'tis</t>
  </si>
  <si>
    <t>thar'not'ak</t>
  </si>
  <si>
    <t>trader (armed)</t>
  </si>
  <si>
    <t>Just too early for upgrade</t>
  </si>
  <si>
    <t>Ximm</t>
  </si>
  <si>
    <t>Abbai</t>
  </si>
  <si>
    <t>Shyarie</t>
  </si>
  <si>
    <t>Fetula</t>
  </si>
  <si>
    <t>Lakara</t>
  </si>
  <si>
    <t>Miliani</t>
  </si>
  <si>
    <t>Tiraca</t>
  </si>
  <si>
    <t>Marata</t>
  </si>
  <si>
    <t>Transport</t>
  </si>
  <si>
    <t>Lokita</t>
  </si>
  <si>
    <t>Bisaria</t>
  </si>
  <si>
    <t>Bimith</t>
  </si>
  <si>
    <t>Up factor</t>
  </si>
  <si>
    <t>Factor</t>
  </si>
  <si>
    <t>EN</t>
  </si>
  <si>
    <t>Rake</t>
  </si>
  <si>
    <t>fraction</t>
  </si>
  <si>
    <t>km/s</t>
  </si>
  <si>
    <t>Speed</t>
  </si>
  <si>
    <t>Make up</t>
  </si>
  <si>
    <t>Problems</t>
  </si>
  <si>
    <t>of C</t>
  </si>
  <si>
    <t>Lightspeed</t>
  </si>
  <si>
    <t>Electro-magnetic radiation</t>
  </si>
  <si>
    <t>Gravitons</t>
  </si>
  <si>
    <t>Significant fraction of lightspeed</t>
  </si>
  <si>
    <t>Protons, electrons, bosons</t>
  </si>
  <si>
    <t>pushes itself apart</t>
  </si>
  <si>
    <t>Fraction of lightspeed</t>
  </si>
  <si>
    <t>Ionised gas (plasma)</t>
  </si>
  <si>
    <t>Insig. fraction of lightspeed</t>
  </si>
  <si>
    <t>Charged molecules</t>
  </si>
  <si>
    <t>Quite slow</t>
  </si>
  <si>
    <t>Very small uncharged anti-matter</t>
  </si>
  <si>
    <t>meeting matter</t>
  </si>
  <si>
    <t>Slow</t>
  </si>
  <si>
    <t>Uncharged matter</t>
  </si>
  <si>
    <t>real slow</t>
  </si>
  <si>
    <t>init_bonus</t>
  </si>
  <si>
    <t>Fire control modifier for weapon ejection speed</t>
  </si>
  <si>
    <t>Fire control modifier for weapon tracking speed</t>
  </si>
  <si>
    <t>Signature</t>
  </si>
  <si>
    <t>light speed</t>
  </si>
  <si>
    <t>Significant fraction</t>
  </si>
  <si>
    <t>Fraction</t>
  </si>
  <si>
    <t>3/2</t>
  </si>
  <si>
    <t>Sustained</t>
  </si>
  <si>
    <t>Insignificant fraction</t>
  </si>
  <si>
    <t>Real slow</t>
  </si>
  <si>
    <t>Thrust_div</t>
  </si>
  <si>
    <t>Gattlling</t>
  </si>
  <si>
    <t>Thrust_base</t>
  </si>
  <si>
    <t>Row of above table to use depending upon weapon size</t>
  </si>
  <si>
    <t>main_divisor</t>
  </si>
  <si>
    <t>Gattling</t>
  </si>
  <si>
    <t xml:space="preserve">Fire </t>
  </si>
  <si>
    <t>Interceptability</t>
  </si>
  <si>
    <t>Interceptable</t>
  </si>
  <si>
    <t>Control</t>
  </si>
  <si>
    <t>deg</t>
  </si>
  <si>
    <t>4/1</t>
  </si>
  <si>
    <t>5/1</t>
  </si>
  <si>
    <t>particle</t>
  </si>
  <si>
    <t>plasma</t>
  </si>
  <si>
    <t>bullet speed</t>
  </si>
  <si>
    <t>distance</t>
  </si>
  <si>
    <t>target speed</t>
  </si>
  <si>
    <t>time to target</t>
  </si>
  <si>
    <t>s</t>
  </si>
  <si>
    <t>target moved</t>
  </si>
  <si>
    <t>Shuttle</t>
  </si>
  <si>
    <t>weapon_power</t>
  </si>
  <si>
    <t>Old</t>
  </si>
  <si>
    <t>Mega Boson Beam</t>
  </si>
  <si>
    <t>Heavy Raider</t>
  </si>
  <si>
    <t>MegaBB</t>
  </si>
  <si>
    <t>Light Raider</t>
  </si>
  <si>
    <t>Light Cruiser</t>
  </si>
  <si>
    <t>Mothership</t>
  </si>
  <si>
    <t>Drakh light</t>
  </si>
  <si>
    <t>Attack Cruiser</t>
  </si>
  <si>
    <t>Old Sig-nature</t>
  </si>
  <si>
    <t>Light Raider group</t>
  </si>
  <si>
    <t>Heavy Raider group</t>
  </si>
  <si>
    <t>3x15</t>
  </si>
  <si>
    <t>D3+5 -1/hex</t>
  </si>
  <si>
    <t>9-7</t>
  </si>
  <si>
    <t>3x25</t>
  </si>
  <si>
    <t>3*2</t>
  </si>
  <si>
    <t>3*5</t>
  </si>
  <si>
    <t>3x8</t>
  </si>
  <si>
    <t>Special</t>
  </si>
  <si>
    <t>Special reason</t>
  </si>
  <si>
    <t>Operate as multiple lower class weapons</t>
  </si>
  <si>
    <t>num_weapons_base</t>
  </si>
  <si>
    <t>num_weapons_mod</t>
  </si>
  <si>
    <t>Non weapons</t>
  </si>
  <si>
    <t>Batteries</t>
  </si>
  <si>
    <t>MC-180</t>
  </si>
  <si>
    <t>MPB (blaster)</t>
  </si>
  <si>
    <t>MPB</t>
  </si>
  <si>
    <t>Darmoti</t>
  </si>
  <si>
    <t>Using EA &amp; Capital</t>
  </si>
  <si>
    <t>Sum</t>
  </si>
  <si>
    <t>ML-60</t>
  </si>
  <si>
    <t>MP-60</t>
  </si>
  <si>
    <t>Medium Matter Cannon</t>
  </si>
  <si>
    <t>Heavy Matter Cannon</t>
  </si>
  <si>
    <t>HMC</t>
  </si>
  <si>
    <t>MMC</t>
  </si>
  <si>
    <t>&lt;5</t>
  </si>
  <si>
    <t>31-50</t>
  </si>
  <si>
    <t>51-80</t>
  </si>
  <si>
    <t>81+</t>
  </si>
  <si>
    <t>7-15</t>
  </si>
  <si>
    <t>16-29</t>
  </si>
  <si>
    <t>16-30</t>
  </si>
  <si>
    <t>=Y61</t>
  </si>
  <si>
    <t>6d10 + 20</t>
  </si>
  <si>
    <t>91+</t>
  </si>
  <si>
    <t>50-90</t>
  </si>
  <si>
    <t>30-49</t>
  </si>
  <si>
    <t>3d10+15</t>
  </si>
  <si>
    <t>1 level lower</t>
  </si>
  <si>
    <t>D6+5 
d10+12</t>
  </si>
  <si>
    <t>Drakh Heavy</t>
  </si>
  <si>
    <t>Fire Control</t>
  </si>
  <si>
    <t>D6+1
2x (d10+4)</t>
  </si>
  <si>
    <t>Alturan</t>
  </si>
  <si>
    <t>Mag Gun (fires as matter)</t>
  </si>
  <si>
    <t>Base Signature</t>
  </si>
  <si>
    <t>LNC</t>
  </si>
  <si>
    <t>Raiders &amp; Civilians</t>
  </si>
  <si>
    <t>Q ship</t>
  </si>
  <si>
    <t>Q Ship</t>
  </si>
  <si>
    <t>clunky</t>
  </si>
  <si>
    <t>Var’Loth</t>
  </si>
  <si>
    <t>5 x 3</t>
  </si>
  <si>
    <t>Base Armour</t>
  </si>
  <si>
    <t>1-2</t>
  </si>
  <si>
    <t>2-3</t>
  </si>
  <si>
    <t>4-5</t>
  </si>
  <si>
    <t>?</t>
  </si>
  <si>
    <t>-20</t>
  </si>
  <si>
    <t>0</t>
  </si>
  <si>
    <t>Civilian</t>
  </si>
  <si>
    <t>avg</t>
  </si>
  <si>
    <t>Light Plasma Cannon</t>
  </si>
  <si>
    <t>Hpla-240</t>
  </si>
  <si>
    <t>Hpla-360</t>
  </si>
  <si>
    <t>Kor'Tk'al</t>
  </si>
  <si>
    <t>Mpla-180</t>
  </si>
  <si>
    <t>Lpla-180</t>
  </si>
  <si>
    <t>Resh'kas'u</t>
  </si>
  <si>
    <t>Anti-fighter fighter guns</t>
  </si>
  <si>
    <t>Anti-ship fighter guns</t>
  </si>
  <si>
    <t>Resh’kas'u</t>
  </si>
  <si>
    <t>cost</t>
  </si>
  <si>
    <t>Urik’tal</t>
  </si>
  <si>
    <t>Urik'hal</t>
  </si>
  <si>
    <t>Urik'tal</t>
  </si>
  <si>
    <t>Double</t>
  </si>
  <si>
    <t>Wartalon</t>
  </si>
  <si>
    <t xml:space="preserve">just a crap ship </t>
  </si>
  <si>
    <t>Light Graviton Pulsar</t>
  </si>
  <si>
    <t>LGP-180</t>
  </si>
  <si>
    <t>Shield</t>
  </si>
  <si>
    <t>5 x</t>
  </si>
  <si>
    <t>5d10</t>
  </si>
  <si>
    <t>3d10</t>
  </si>
  <si>
    <t>d10</t>
  </si>
  <si>
    <t xml:space="preserve"> 3, 5, 6 pulses x2</t>
  </si>
  <si>
    <t>1,2, 3 pulses x5</t>
  </si>
  <si>
    <t>GM</t>
  </si>
  <si>
    <t>Gravitic Mine</t>
  </si>
  <si>
    <t>4d10-d10/hex</t>
  </si>
  <si>
    <t>per side</t>
  </si>
  <si>
    <t>Kaliva</t>
  </si>
  <si>
    <t>6d10</t>
  </si>
  <si>
    <t>Fire as 2 Grav beams</t>
  </si>
  <si>
    <t>4d10+25</t>
  </si>
  <si>
    <t>4d10+30</t>
  </si>
  <si>
    <t>Shadow Omega</t>
  </si>
  <si>
    <t>Vorlon fighter</t>
  </si>
  <si>
    <t>Shadow Fighter</t>
  </si>
  <si>
    <t>Fighters each</t>
  </si>
  <si>
    <t>Total fighters</t>
  </si>
  <si>
    <t>K'Tann</t>
  </si>
  <si>
    <t>T’Loth</t>
  </si>
  <si>
    <t>Sho’Kar</t>
  </si>
  <si>
    <t>Racial bonus</t>
  </si>
  <si>
    <t>navigator</t>
  </si>
  <si>
    <t>Bonus</t>
  </si>
  <si>
    <t>Thud + missiles</t>
  </si>
  <si>
    <t>Notes</t>
  </si>
  <si>
    <t>Navigator gives init +2</t>
  </si>
  <si>
    <t>missiles</t>
  </si>
  <si>
    <t>Lost thrust compared to original Thud</t>
  </si>
  <si>
    <t>Thud with navigator</t>
  </si>
  <si>
    <t>Thud+</t>
  </si>
  <si>
    <t>Tendrils</t>
  </si>
  <si>
    <t>Bleeding</t>
  </si>
  <si>
    <t>Totals</t>
  </si>
  <si>
    <t>Mogratti</t>
  </si>
  <si>
    <t>Vasachi</t>
  </si>
  <si>
    <t>Rothan</t>
  </si>
  <si>
    <t>G'Sten</t>
  </si>
  <si>
    <t>G’Sten</t>
  </si>
  <si>
    <t>Balvarian</t>
  </si>
  <si>
    <t>Chronos</t>
  </si>
  <si>
    <t>Jump</t>
  </si>
  <si>
    <t>Xvell</t>
  </si>
  <si>
    <t>Xavan</t>
  </si>
  <si>
    <t>Weapon Size by damage</t>
  </si>
  <si>
    <t>T'Rakk</t>
  </si>
  <si>
    <t>T’Rokk</t>
  </si>
  <si>
    <t>T’Rakk</t>
  </si>
  <si>
    <t>General Constants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</si>
</sst>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0">
    <font>
      <sz val="10"/>
      <name val="Arial"/>
      <family val="0"/>
    </font>
    <font>
      <b/>
      <sz val="10"/>
      <color indexed="10"/>
      <name val="Arial"/>
      <family val="2"/>
    </font>
    <font>
      <sz val="10"/>
      <color indexed="10"/>
      <name val="Arial"/>
      <family val="0"/>
    </font>
    <font>
      <sz val="10"/>
      <color indexed="12"/>
      <name val="Arial"/>
      <family val="2"/>
    </font>
    <font>
      <i/>
      <sz val="10"/>
      <name val="Arial"/>
      <family val="2"/>
    </font>
    <font>
      <b/>
      <sz val="10"/>
      <name val="Arial"/>
      <family val="0"/>
    </font>
    <font>
      <sz val="18"/>
      <name val="Arial Black"/>
      <family val="2"/>
    </font>
    <font>
      <b/>
      <sz val="10"/>
      <color indexed="12"/>
      <name val="Arial"/>
      <family val="0"/>
    </font>
    <font>
      <sz val="8"/>
      <name val="Arial"/>
      <family val="0"/>
    </font>
    <font>
      <u val="single"/>
      <sz val="10"/>
      <name val="Arial"/>
      <family val="2"/>
    </font>
    <font>
      <sz val="10"/>
      <name val="Times New Roman"/>
      <family val="1"/>
    </font>
    <font>
      <b/>
      <sz val="10"/>
      <name val="Times New Roman"/>
      <family val="1"/>
    </font>
    <font>
      <b/>
      <sz val="10"/>
      <color indexed="10"/>
      <name val="Times New Roman"/>
      <family val="1"/>
    </font>
    <font>
      <b/>
      <sz val="10"/>
      <color indexed="12"/>
      <name val="Times New Roman"/>
      <family val="1"/>
    </font>
    <font>
      <sz val="10"/>
      <color indexed="10"/>
      <name val="Times New Roman"/>
      <family val="1"/>
    </font>
    <font>
      <sz val="10"/>
      <color indexed="12"/>
      <name val="Times New Roman"/>
      <family val="1"/>
    </font>
    <font>
      <i/>
      <sz val="10"/>
      <name val="Times New Roman"/>
      <family val="1"/>
    </font>
    <font>
      <b/>
      <sz val="12"/>
      <name val="Times New Roman"/>
      <family val="1"/>
    </font>
    <font>
      <b/>
      <sz val="12"/>
      <color indexed="10"/>
      <name val="Times New Roman"/>
      <family val="1"/>
    </font>
    <font>
      <b/>
      <sz val="12"/>
      <color indexed="12"/>
      <name val="Times New Roman"/>
      <family val="1"/>
    </font>
    <font>
      <sz val="12"/>
      <name val="Times New Roman"/>
      <family val="1"/>
    </font>
    <font>
      <sz val="12"/>
      <color indexed="10"/>
      <name val="Times New Roman"/>
      <family val="1"/>
    </font>
    <font>
      <sz val="12"/>
      <color indexed="12"/>
      <name val="Times New Roman"/>
      <family val="1"/>
    </font>
    <font>
      <sz val="12"/>
      <name val="Arial"/>
      <family val="0"/>
    </font>
    <font>
      <sz val="10"/>
      <color indexed="20"/>
      <name val="Arial"/>
      <family val="0"/>
    </font>
    <font>
      <b/>
      <sz val="10"/>
      <color indexed="20"/>
      <name val="Arial"/>
      <family val="0"/>
    </font>
    <font>
      <sz val="12"/>
      <color indexed="12"/>
      <name val="Arial"/>
      <family val="0"/>
    </font>
    <font>
      <sz val="8"/>
      <name val="Tahoma"/>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1" fontId="0" fillId="0" borderId="0" xfId="0" applyNumberFormat="1" applyFont="1" applyAlignment="1">
      <alignment horizontal="center"/>
    </xf>
    <xf numFmtId="0" fontId="0" fillId="0" borderId="0" xfId="0" applyFont="1" applyAlignment="1">
      <alignment/>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49" fontId="0" fillId="0" borderId="0" xfId="0" applyNumberFormat="1" applyAlignment="1">
      <alignment horizontal="left"/>
    </xf>
    <xf numFmtId="1" fontId="0" fillId="2" borderId="0" xfId="0" applyNumberFormat="1" applyFill="1" applyAlignment="1">
      <alignment horizontal="center"/>
    </xf>
    <xf numFmtId="0" fontId="0" fillId="0" borderId="0" xfId="0" applyNumberFormat="1" applyAlignment="1">
      <alignment horizontal="center"/>
    </xf>
    <xf numFmtId="0" fontId="0" fillId="0" borderId="0" xfId="0" applyAlignment="1" quotePrefix="1">
      <alignment horizontal="center"/>
    </xf>
    <xf numFmtId="0" fontId="0" fillId="0" borderId="0" xfId="0" applyFont="1" applyAlignment="1">
      <alignment/>
    </xf>
    <xf numFmtId="16" fontId="0" fillId="0" borderId="0" xfId="0" applyNumberFormat="1" applyAlignment="1" quotePrefix="1">
      <alignment horizontal="center"/>
    </xf>
    <xf numFmtId="0" fontId="0" fillId="0" borderId="0" xfId="0" applyAlignment="1">
      <alignment horizontal="left"/>
    </xf>
    <xf numFmtId="0" fontId="1" fillId="0" borderId="0" xfId="0" applyFont="1" applyAlignment="1">
      <alignment/>
    </xf>
    <xf numFmtId="49" fontId="0" fillId="0" borderId="0" xfId="0" applyNumberFormat="1" applyAlignment="1" quotePrefix="1">
      <alignment horizontal="center"/>
    </xf>
    <xf numFmtId="49" fontId="0" fillId="0" borderId="0" xfId="0" applyNumberFormat="1" applyAlignment="1">
      <alignment/>
    </xf>
    <xf numFmtId="16" fontId="0" fillId="0" borderId="0" xfId="0" applyNumberFormat="1" applyAlignment="1">
      <alignment horizontal="center"/>
    </xf>
    <xf numFmtId="1" fontId="2" fillId="0" borderId="0" xfId="0" applyNumberFormat="1" applyFont="1" applyAlignment="1">
      <alignment horizontal="center"/>
    </xf>
    <xf numFmtId="49" fontId="3" fillId="0" borderId="0" xfId="0" applyNumberFormat="1" applyFont="1" applyAlignment="1">
      <alignment/>
    </xf>
    <xf numFmtId="49" fontId="1" fillId="0" borderId="0" xfId="0" applyNumberFormat="1" applyFont="1" applyAlignment="1">
      <alignment/>
    </xf>
    <xf numFmtId="49" fontId="3" fillId="0" borderId="0" xfId="0" applyNumberFormat="1" applyFont="1" applyAlignment="1">
      <alignment/>
    </xf>
    <xf numFmtId="49" fontId="4" fillId="0" borderId="0" xfId="0" applyNumberFormat="1" applyFont="1" applyAlignment="1">
      <alignment/>
    </xf>
    <xf numFmtId="0" fontId="3" fillId="0" borderId="0" xfId="0" applyFont="1" applyAlignment="1">
      <alignment horizontal="center"/>
    </xf>
    <xf numFmtId="0" fontId="3" fillId="0" borderId="0" xfId="0" applyFont="1" applyAlignment="1">
      <alignment/>
    </xf>
    <xf numFmtId="0" fontId="0" fillId="0" borderId="0" xfId="0" applyAlignment="1" quotePrefix="1">
      <alignment/>
    </xf>
    <xf numFmtId="49" fontId="3" fillId="0" borderId="0" xfId="0" applyNumberFormat="1" applyFont="1" applyAlignment="1">
      <alignment horizontal="center"/>
    </xf>
    <xf numFmtId="49" fontId="0" fillId="0" borderId="0" xfId="0" applyNumberFormat="1" applyFont="1" applyAlignment="1">
      <alignment/>
    </xf>
    <xf numFmtId="1" fontId="0" fillId="2" borderId="0" xfId="0" applyNumberFormat="1" applyFill="1" applyAlignment="1" quotePrefix="1">
      <alignment horizontal="center"/>
    </xf>
    <xf numFmtId="1" fontId="0" fillId="0" borderId="0" xfId="0" applyNumberFormat="1" applyAlignment="1">
      <alignment horizontal="left"/>
    </xf>
    <xf numFmtId="1" fontId="1" fillId="0" borderId="0" xfId="0" applyNumberFormat="1" applyFont="1" applyAlignment="1">
      <alignment horizontal="center"/>
    </xf>
    <xf numFmtId="0" fontId="5" fillId="0" borderId="0" xfId="0" applyFont="1" applyAlignment="1">
      <alignment/>
    </xf>
    <xf numFmtId="49"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49" fontId="1" fillId="0" borderId="0" xfId="0" applyNumberFormat="1" applyFont="1" applyAlignment="1">
      <alignment horizontal="left"/>
    </xf>
    <xf numFmtId="1" fontId="1" fillId="2" borderId="0" xfId="0" applyNumberFormat="1" applyFont="1" applyFill="1" applyAlignment="1">
      <alignment horizontal="center"/>
    </xf>
    <xf numFmtId="0" fontId="1" fillId="0" borderId="0" xfId="0" applyNumberFormat="1" applyFont="1" applyAlignment="1">
      <alignment horizontal="center"/>
    </xf>
    <xf numFmtId="0" fontId="1" fillId="0" borderId="0" xfId="0" applyFont="1" applyAlignment="1">
      <alignment/>
    </xf>
    <xf numFmtId="1" fontId="6" fillId="0" borderId="0" xfId="0" applyNumberFormat="1" applyFont="1" applyAlignment="1">
      <alignment horizontal="center"/>
    </xf>
    <xf numFmtId="1" fontId="3" fillId="0" borderId="0" xfId="0" applyNumberFormat="1" applyFont="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5" fillId="0" borderId="0" xfId="0" applyFont="1" applyAlignment="1">
      <alignment/>
    </xf>
    <xf numFmtId="1" fontId="7"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1" fontId="5" fillId="0" borderId="0" xfId="0" applyNumberFormat="1" applyFont="1" applyAlignment="1">
      <alignment horizontal="center"/>
    </xf>
    <xf numFmtId="0" fontId="1" fillId="3" borderId="0" xfId="0" applyFont="1" applyFill="1" applyAlignment="1">
      <alignment horizontal="center"/>
    </xf>
    <xf numFmtId="0" fontId="5" fillId="3" borderId="0" xfId="0" applyFont="1" applyFill="1" applyAlignment="1">
      <alignment horizontal="center"/>
    </xf>
    <xf numFmtId="0" fontId="0" fillId="0" borderId="0" xfId="0" applyFont="1" applyAlignment="1">
      <alignment horizontal="center"/>
    </xf>
    <xf numFmtId="1" fontId="0" fillId="3" borderId="0" xfId="0" applyNumberFormat="1" applyFont="1" applyFill="1" applyAlignment="1">
      <alignment horizontal="center"/>
    </xf>
    <xf numFmtId="1" fontId="2" fillId="3" borderId="0" xfId="0" applyNumberFormat="1" applyFont="1" applyFill="1" applyAlignment="1">
      <alignment horizontal="center"/>
    </xf>
    <xf numFmtId="0" fontId="0" fillId="0" borderId="0" xfId="0" applyFont="1" applyFill="1" applyAlignment="1">
      <alignment horizontal="center"/>
    </xf>
    <xf numFmtId="0" fontId="0" fillId="3" borderId="0" xfId="0" applyFont="1" applyFill="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0" fontId="0" fillId="3" borderId="0" xfId="0" applyFont="1" applyFill="1" applyAlignment="1">
      <alignment horizontal="center"/>
    </xf>
    <xf numFmtId="1" fontId="0" fillId="3" borderId="0" xfId="0" applyNumberFormat="1" applyFont="1" applyFill="1" applyAlignment="1">
      <alignment horizontal="center"/>
    </xf>
    <xf numFmtId="0" fontId="2" fillId="0" borderId="0" xfId="0" applyFont="1" applyAlignment="1">
      <alignment horizontal="center"/>
    </xf>
    <xf numFmtId="1" fontId="0" fillId="0" borderId="0" xfId="0" applyNumberFormat="1" applyAlignment="1">
      <alignment/>
    </xf>
    <xf numFmtId="0" fontId="0" fillId="0" borderId="0" xfId="0" applyAlignment="1">
      <alignment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11" fillId="4" borderId="0" xfId="0" applyFont="1" applyFill="1" applyBorder="1" applyAlignment="1">
      <alignment vertical="top" wrapText="1"/>
    </xf>
    <xf numFmtId="0" fontId="11" fillId="3" borderId="0" xfId="0" applyFont="1" applyFill="1" applyBorder="1" applyAlignment="1">
      <alignment horizontal="center" vertical="top" wrapText="1"/>
    </xf>
    <xf numFmtId="0" fontId="11" fillId="4" borderId="0" xfId="0" applyFont="1" applyFill="1" applyBorder="1" applyAlignment="1">
      <alignment horizontal="center" vertical="top" wrapText="1"/>
    </xf>
    <xf numFmtId="1" fontId="11" fillId="4" borderId="0" xfId="0" applyNumberFormat="1" applyFont="1" applyFill="1" applyBorder="1" applyAlignment="1">
      <alignment horizontal="center" vertical="top" wrapText="1"/>
    </xf>
    <xf numFmtId="0" fontId="11" fillId="5" borderId="0" xfId="0" applyFont="1" applyFill="1" applyBorder="1" applyAlignment="1">
      <alignment horizontal="center" vertical="top" wrapText="1"/>
    </xf>
    <xf numFmtId="0" fontId="13" fillId="4" borderId="0" xfId="0" applyFont="1" applyFill="1" applyBorder="1" applyAlignment="1">
      <alignment horizontal="center" vertical="top" wrapText="1"/>
    </xf>
    <xf numFmtId="0" fontId="22" fillId="0" borderId="0" xfId="0" applyFont="1" applyBorder="1" applyAlignment="1">
      <alignment horizontal="center" vertical="center" wrapText="1"/>
    </xf>
    <xf numFmtId="1" fontId="13" fillId="4" borderId="0" xfId="0" applyNumberFormat="1" applyFont="1" applyFill="1" applyBorder="1" applyAlignment="1">
      <alignment horizontal="center" vertical="top" wrapText="1"/>
    </xf>
    <xf numFmtId="1" fontId="12" fillId="5" borderId="0" xfId="0" applyNumberFormat="1" applyFont="1" applyFill="1" applyBorder="1" applyAlignment="1">
      <alignment horizontal="center" vertical="top" wrapText="1"/>
    </xf>
    <xf numFmtId="164" fontId="13" fillId="4" borderId="0" xfId="0" applyNumberFormat="1" applyFont="1" applyFill="1" applyBorder="1" applyAlignment="1">
      <alignment horizontal="center" vertical="top" wrapText="1"/>
    </xf>
    <xf numFmtId="0" fontId="13" fillId="5" borderId="0" xfId="0" applyFont="1" applyFill="1" applyBorder="1" applyAlignment="1">
      <alignment horizontal="center" vertical="top" wrapText="1"/>
    </xf>
    <xf numFmtId="1" fontId="13" fillId="5" borderId="0" xfId="0" applyNumberFormat="1" applyFont="1" applyFill="1" applyBorder="1" applyAlignment="1">
      <alignment horizontal="center" vertical="top" wrapText="1"/>
    </xf>
    <xf numFmtId="0" fontId="11" fillId="6" borderId="0" xfId="0" applyFont="1" applyFill="1" applyBorder="1" applyAlignment="1">
      <alignment vertical="top" wrapText="1"/>
    </xf>
    <xf numFmtId="0" fontId="10" fillId="6" borderId="0" xfId="0" applyFont="1" applyFill="1" applyBorder="1" applyAlignment="1">
      <alignment vertical="top" wrapText="1"/>
    </xf>
    <xf numFmtId="0" fontId="10" fillId="3" borderId="0" xfId="0" applyFont="1" applyFill="1" applyBorder="1" applyAlignment="1">
      <alignment horizontal="center" vertical="top" wrapText="1"/>
    </xf>
    <xf numFmtId="0" fontId="10" fillId="6" borderId="0" xfId="0" applyFont="1" applyFill="1" applyBorder="1" applyAlignment="1">
      <alignment horizontal="center" vertical="top" wrapText="1"/>
    </xf>
    <xf numFmtId="1" fontId="10" fillId="6" borderId="0" xfId="0" applyNumberFormat="1" applyFont="1" applyFill="1" applyBorder="1" applyAlignment="1">
      <alignment horizontal="center" vertical="top" wrapText="1"/>
    </xf>
    <xf numFmtId="0" fontId="15" fillId="6" borderId="0" xfId="0" applyFont="1" applyFill="1" applyBorder="1" applyAlignment="1">
      <alignment horizontal="center" vertical="top" wrapText="1"/>
    </xf>
    <xf numFmtId="164" fontId="10" fillId="6" borderId="0" xfId="0" applyNumberFormat="1" applyFont="1" applyFill="1" applyBorder="1" applyAlignment="1">
      <alignment horizontal="center" vertical="top" wrapText="1"/>
    </xf>
    <xf numFmtId="1" fontId="15" fillId="6" borderId="0" xfId="0" applyNumberFormat="1" applyFont="1" applyFill="1" applyBorder="1" applyAlignment="1">
      <alignment horizontal="center" vertical="top" wrapText="1"/>
    </xf>
    <xf numFmtId="0" fontId="14" fillId="6" borderId="0" xfId="0" applyFont="1" applyFill="1" applyBorder="1" applyAlignment="1">
      <alignment horizontal="center" vertical="top" wrapText="1"/>
    </xf>
    <xf numFmtId="0" fontId="11" fillId="0" borderId="0" xfId="0" applyFont="1" applyBorder="1" applyAlignment="1">
      <alignment vertical="top" wrapText="1"/>
    </xf>
    <xf numFmtId="1" fontId="10" fillId="3" borderId="0" xfId="0" applyNumberFormat="1" applyFont="1" applyFill="1" applyBorder="1" applyAlignment="1">
      <alignment horizontal="center" vertical="top" wrapText="1"/>
    </xf>
    <xf numFmtId="1" fontId="10" fillId="0" borderId="0" xfId="0" applyNumberFormat="1" applyFont="1" applyBorder="1" applyAlignment="1">
      <alignment horizontal="center" vertical="top" wrapText="1"/>
    </xf>
    <xf numFmtId="0" fontId="10" fillId="0" borderId="0" xfId="0" applyFont="1" applyBorder="1" applyAlignment="1">
      <alignment horizontal="center" vertical="top" wrapText="1"/>
    </xf>
    <xf numFmtId="0" fontId="10" fillId="5" borderId="0" xfId="0" applyFont="1" applyFill="1" applyBorder="1" applyAlignment="1">
      <alignment horizontal="center" vertical="top" wrapText="1"/>
    </xf>
    <xf numFmtId="0" fontId="15" fillId="0" borderId="0" xfId="0" applyFont="1" applyBorder="1" applyAlignment="1">
      <alignment horizontal="center" vertical="top" wrapText="1"/>
    </xf>
    <xf numFmtId="164" fontId="10" fillId="0" borderId="0" xfId="0" applyNumberFormat="1" applyFont="1" applyBorder="1" applyAlignment="1">
      <alignment horizontal="center" vertical="top" wrapText="1"/>
    </xf>
    <xf numFmtId="1" fontId="15" fillId="0" borderId="0" xfId="0" applyNumberFormat="1" applyFont="1" applyBorder="1" applyAlignment="1">
      <alignment horizontal="center" vertical="top" wrapText="1"/>
    </xf>
    <xf numFmtId="1" fontId="15" fillId="5" borderId="0" xfId="0" applyNumberFormat="1" applyFont="1" applyFill="1" applyBorder="1" applyAlignment="1">
      <alignment horizontal="center" vertical="top" wrapText="1"/>
    </xf>
    <xf numFmtId="0" fontId="14" fillId="0" borderId="0" xfId="0" applyFont="1" applyBorder="1" applyAlignment="1">
      <alignment horizontal="center" vertical="top" wrapText="1"/>
    </xf>
    <xf numFmtId="16" fontId="10" fillId="0" borderId="0" xfId="0" applyNumberFormat="1" applyFont="1" applyBorder="1" applyAlignment="1">
      <alignment horizontal="center" vertical="top" wrapText="1"/>
    </xf>
    <xf numFmtId="16" fontId="14" fillId="0" borderId="0" xfId="0" applyNumberFormat="1" applyFont="1" applyBorder="1" applyAlignment="1">
      <alignment horizontal="center" vertical="top" wrapText="1"/>
    </xf>
    <xf numFmtId="0" fontId="14" fillId="0" borderId="0" xfId="0" applyFont="1" applyBorder="1" applyAlignment="1">
      <alignment vertical="top" wrapText="1"/>
    </xf>
    <xf numFmtId="0" fontId="0" fillId="0" borderId="0" xfId="0"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top" wrapText="1"/>
    </xf>
    <xf numFmtId="0" fontId="15" fillId="0" borderId="0" xfId="0" applyFont="1" applyBorder="1" applyAlignment="1">
      <alignment vertical="top" wrapText="1"/>
    </xf>
    <xf numFmtId="0" fontId="14" fillId="0" borderId="0" xfId="0" applyNumberFormat="1" applyFont="1" applyBorder="1" applyAlignment="1">
      <alignment horizontal="center" vertical="top" wrapText="1"/>
    </xf>
    <xf numFmtId="0" fontId="10" fillId="0" borderId="0" xfId="0" applyNumberFormat="1" applyFont="1" applyBorder="1" applyAlignment="1">
      <alignment horizontal="center" vertical="top" wrapText="1"/>
    </xf>
    <xf numFmtId="0" fontId="15" fillId="0" borderId="0" xfId="0" applyNumberFormat="1" applyFont="1" applyBorder="1" applyAlignment="1">
      <alignment horizontal="center" vertical="top" wrapText="1"/>
    </xf>
    <xf numFmtId="0" fontId="14" fillId="6" borderId="0" xfId="0" applyFont="1" applyFill="1" applyBorder="1" applyAlignment="1">
      <alignment vertical="top" wrapText="1"/>
    </xf>
    <xf numFmtId="0" fontId="10" fillId="0" borderId="0" xfId="0" applyFont="1" applyBorder="1" applyAlignment="1" quotePrefix="1">
      <alignment horizontal="center" vertical="top" wrapText="1"/>
    </xf>
    <xf numFmtId="0" fontId="10" fillId="6" borderId="0" xfId="0" applyNumberFormat="1" applyFont="1" applyFill="1" applyBorder="1" applyAlignment="1">
      <alignment horizontal="center" vertical="top"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2" fillId="0" borderId="0" xfId="0" applyFont="1" applyBorder="1" applyAlignment="1">
      <alignment vertical="center" wrapText="1"/>
    </xf>
    <xf numFmtId="0" fontId="0" fillId="0" borderId="0" xfId="0" applyFont="1" applyBorder="1" applyAlignment="1">
      <alignment horizontal="center"/>
    </xf>
    <xf numFmtId="0" fontId="24" fillId="0" borderId="0" xfId="0" applyFont="1" applyAlignment="1">
      <alignment horizontal="center"/>
    </xf>
    <xf numFmtId="0" fontId="0" fillId="0" borderId="0" xfId="0" applyFont="1" applyAlignment="1">
      <alignment horizontal="left"/>
    </xf>
    <xf numFmtId="0" fontId="0" fillId="0" borderId="0" xfId="0"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1" fontId="0" fillId="6" borderId="0" xfId="0" applyNumberFormat="1" applyFill="1" applyAlignment="1">
      <alignment horizontal="center"/>
    </xf>
    <xf numFmtId="0" fontId="11" fillId="3" borderId="0" xfId="0" applyFont="1" applyFill="1" applyBorder="1" applyAlignment="1">
      <alignment vertical="top" wrapText="1"/>
    </xf>
    <xf numFmtId="0" fontId="5" fillId="3" borderId="0" xfId="0" applyFont="1" applyFill="1" applyAlignment="1">
      <alignment/>
    </xf>
    <xf numFmtId="0" fontId="5" fillId="3" borderId="0" xfId="0" applyFont="1" applyFill="1" applyBorder="1" applyAlignment="1">
      <alignment horizontal="center"/>
    </xf>
    <xf numFmtId="0" fontId="5" fillId="3" borderId="0" xfId="0" applyFont="1" applyFill="1" applyAlignment="1">
      <alignment horizontal="center"/>
    </xf>
    <xf numFmtId="0" fontId="5" fillId="3" borderId="0" xfId="0" applyFont="1" applyFill="1" applyAlignment="1">
      <alignment horizontal="center" wrapText="1"/>
    </xf>
    <xf numFmtId="0" fontId="25" fillId="3" borderId="0" xfId="0" applyFont="1" applyFill="1" applyAlignment="1">
      <alignment horizontal="center" wrapText="1"/>
    </xf>
    <xf numFmtId="0" fontId="12" fillId="0" borderId="0" xfId="0" applyFont="1" applyBorder="1" applyAlignment="1">
      <alignment vertical="top" wrapText="1"/>
    </xf>
    <xf numFmtId="0" fontId="24" fillId="3" borderId="0" xfId="0" applyFont="1" applyFill="1" applyAlignment="1">
      <alignment horizontal="center"/>
    </xf>
    <xf numFmtId="0" fontId="0" fillId="3"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24" fillId="0" borderId="0" xfId="0" applyFont="1" applyFill="1" applyAlignment="1">
      <alignment horizontal="center"/>
    </xf>
    <xf numFmtId="0" fontId="5" fillId="0" borderId="0" xfId="0" applyFont="1" applyFill="1" applyAlignment="1">
      <alignment/>
    </xf>
    <xf numFmtId="1" fontId="0" fillId="0" borderId="0" xfId="0" applyNumberFormat="1" applyFill="1" applyAlignment="1">
      <alignment horizontal="center"/>
    </xf>
    <xf numFmtId="1" fontId="1" fillId="5" borderId="0" xfId="0" applyNumberFormat="1" applyFont="1" applyFill="1" applyAlignment="1">
      <alignment horizontal="center"/>
    </xf>
    <xf numFmtId="0" fontId="0" fillId="0" borderId="0" xfId="0" applyFill="1" applyAlignment="1">
      <alignment/>
    </xf>
    <xf numFmtId="1" fontId="0" fillId="0" borderId="0" xfId="0" applyNumberFormat="1" applyAlignment="1">
      <alignment horizontal="right"/>
    </xf>
    <xf numFmtId="0" fontId="0" fillId="0" borderId="0" xfId="0" applyNumberFormat="1" applyAlignment="1">
      <alignment horizontal="left"/>
    </xf>
    <xf numFmtId="1" fontId="0" fillId="0" borderId="0" xfId="0" applyNumberFormat="1" applyAlignment="1" quotePrefix="1">
      <alignment horizontal="center"/>
    </xf>
    <xf numFmtId="2" fontId="0" fillId="0" borderId="0" xfId="0" applyNumberFormat="1" applyAlignment="1">
      <alignment/>
    </xf>
    <xf numFmtId="0" fontId="7" fillId="0" borderId="0" xfId="0" applyFont="1" applyAlignment="1">
      <alignment/>
    </xf>
    <xf numFmtId="1" fontId="2" fillId="0" borderId="0" xfId="0" applyNumberFormat="1" applyFont="1" applyAlignment="1">
      <alignment horizontal="center"/>
    </xf>
    <xf numFmtId="49" fontId="5" fillId="0" borderId="0" xfId="0" applyNumberFormat="1" applyFont="1" applyAlignment="1">
      <alignment horizontal="center"/>
    </xf>
    <xf numFmtId="1" fontId="2" fillId="0" borderId="0" xfId="0" applyNumberFormat="1" applyFont="1" applyAlignment="1">
      <alignment horizontal="right"/>
    </xf>
    <xf numFmtId="49" fontId="0" fillId="0" borderId="0" xfId="0" applyNumberFormat="1" applyFont="1" applyAlignment="1">
      <alignment horizontal="center"/>
    </xf>
    <xf numFmtId="0" fontId="2"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2" fontId="0" fillId="0" borderId="2" xfId="0" applyNumberFormat="1" applyBorder="1" applyAlignment="1">
      <alignment horizontal="center"/>
    </xf>
    <xf numFmtId="0" fontId="1" fillId="0" borderId="1" xfId="0" applyFont="1" applyBorder="1" applyAlignment="1">
      <alignment horizontal="left"/>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applyAlignment="1">
      <alignment/>
    </xf>
    <xf numFmtId="0" fontId="0" fillId="0" borderId="3" xfId="0" applyBorder="1" applyAlignment="1">
      <alignment horizontal="center"/>
    </xf>
    <xf numFmtId="16" fontId="0" fillId="0" borderId="3" xfId="0" applyNumberFormat="1" applyBorder="1" applyAlignment="1">
      <alignment horizontal="center"/>
    </xf>
    <xf numFmtId="2" fontId="0" fillId="0" borderId="4" xfId="0" applyNumberFormat="1" applyBorder="1" applyAlignment="1">
      <alignment horizontal="center"/>
    </xf>
    <xf numFmtId="0" fontId="1" fillId="0" borderId="4" xfId="0" applyFont="1" applyBorder="1" applyAlignment="1">
      <alignment horizontal="center"/>
    </xf>
    <xf numFmtId="0" fontId="0" fillId="0" borderId="4" xfId="0" applyBorder="1" applyAlignment="1">
      <alignment horizontal="center"/>
    </xf>
    <xf numFmtId="0" fontId="1" fillId="0" borderId="3" xfId="0" applyFont="1" applyBorder="1" applyAlignment="1">
      <alignment horizontal="left"/>
    </xf>
    <xf numFmtId="0" fontId="0" fillId="0" borderId="0" xfId="0" applyAlignment="1">
      <alignment/>
    </xf>
    <xf numFmtId="49" fontId="0" fillId="0" borderId="3" xfId="0" applyNumberFormat="1" applyBorder="1" applyAlignment="1">
      <alignment horizontal="center"/>
    </xf>
    <xf numFmtId="2" fontId="0" fillId="0" borderId="4" xfId="0" applyNumberFormat="1" applyBorder="1" applyAlignment="1">
      <alignment/>
    </xf>
    <xf numFmtId="2" fontId="0" fillId="0" borderId="4" xfId="0" applyNumberFormat="1" applyFont="1" applyBorder="1" applyAlignment="1">
      <alignment horizontal="center"/>
    </xf>
    <xf numFmtId="0" fontId="0" fillId="0" borderId="3" xfId="0" applyNumberFormat="1" applyBorder="1" applyAlignment="1">
      <alignment horizontal="center"/>
    </xf>
    <xf numFmtId="16" fontId="0" fillId="0" borderId="3" xfId="0" applyNumberFormat="1" applyBorder="1" applyAlignment="1" quotePrefix="1">
      <alignment horizontal="center"/>
    </xf>
    <xf numFmtId="16" fontId="0" fillId="0" borderId="0" xfId="0" applyNumberFormat="1" applyAlignment="1">
      <alignment/>
    </xf>
    <xf numFmtId="0" fontId="0" fillId="0" borderId="5" xfId="0" applyBorder="1" applyAlignment="1">
      <alignment horizontal="center"/>
    </xf>
    <xf numFmtId="0" fontId="0" fillId="0" borderId="6" xfId="0" applyBorder="1" applyAlignment="1">
      <alignment horizontal="center"/>
    </xf>
    <xf numFmtId="0" fontId="0" fillId="0" borderId="6" xfId="0" applyBorder="1" applyAlignment="1">
      <alignment/>
    </xf>
    <xf numFmtId="0" fontId="0" fillId="0" borderId="3" xfId="0" applyBorder="1" applyAlignment="1" quotePrefix="1">
      <alignment horizontal="center"/>
    </xf>
    <xf numFmtId="2" fontId="0" fillId="0" borderId="6" xfId="0" applyNumberFormat="1" applyBorder="1" applyAlignment="1">
      <alignment horizontal="center"/>
    </xf>
    <xf numFmtId="49" fontId="0" fillId="0" borderId="5" xfId="0" applyNumberFormat="1" applyBorder="1" applyAlignment="1">
      <alignment horizontal="center"/>
    </xf>
    <xf numFmtId="2" fontId="0" fillId="0" borderId="6" xfId="0" applyNumberFormat="1" applyBorder="1" applyAlignment="1">
      <alignment/>
    </xf>
    <xf numFmtId="0" fontId="5" fillId="0" borderId="0" xfId="0" applyFont="1" applyBorder="1" applyAlignment="1">
      <alignment horizontal="center"/>
    </xf>
    <xf numFmtId="0" fontId="5" fillId="0" borderId="0" xfId="0" applyFont="1" applyBorder="1" applyAlignment="1">
      <alignment/>
    </xf>
    <xf numFmtId="0" fontId="10" fillId="0" borderId="0" xfId="0" applyFont="1" applyFill="1" applyBorder="1" applyAlignment="1">
      <alignment horizontal="center" vertical="top" wrapText="1"/>
    </xf>
    <xf numFmtId="0" fontId="0" fillId="0" borderId="0" xfId="0" applyFill="1" applyBorder="1" applyAlignment="1">
      <alignment/>
    </xf>
    <xf numFmtId="0" fontId="17"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 fillId="0" borderId="0" xfId="0" applyFont="1" applyAlignment="1">
      <alignment/>
    </xf>
    <xf numFmtId="0" fontId="5" fillId="0" borderId="0" xfId="0" applyFont="1" applyAlignment="1">
      <alignment horizontal="left"/>
    </xf>
    <xf numFmtId="0" fontId="1" fillId="6" borderId="0" xfId="0" applyFont="1" applyFill="1" applyAlignment="1">
      <alignment/>
    </xf>
    <xf numFmtId="1" fontId="0" fillId="6" borderId="0" xfId="0" applyNumberFormat="1" applyFont="1" applyFill="1" applyAlignment="1">
      <alignment horizontal="center"/>
    </xf>
    <xf numFmtId="0" fontId="0" fillId="6" borderId="0" xfId="0" applyFill="1" applyAlignment="1">
      <alignment/>
    </xf>
    <xf numFmtId="1" fontId="3" fillId="6" borderId="0" xfId="0" applyNumberFormat="1" applyFont="1" applyFill="1" applyAlignment="1">
      <alignment horizontal="center"/>
    </xf>
    <xf numFmtId="0" fontId="0" fillId="6" borderId="0" xfId="0" applyFont="1" applyFill="1" applyAlignment="1">
      <alignment horizontal="center"/>
    </xf>
    <xf numFmtId="1" fontId="0" fillId="6" borderId="0" xfId="0" applyNumberFormat="1" applyFont="1" applyFill="1" applyAlignment="1">
      <alignment horizontal="center"/>
    </xf>
    <xf numFmtId="0" fontId="0" fillId="6" borderId="0" xfId="0" applyFont="1" applyFill="1" applyAlignment="1">
      <alignment horizontal="center"/>
    </xf>
    <xf numFmtId="0" fontId="2" fillId="6" borderId="0" xfId="0" applyFont="1" applyFill="1" applyAlignment="1">
      <alignment horizontal="center"/>
    </xf>
    <xf numFmtId="0" fontId="0" fillId="6" borderId="0" xfId="0" applyFont="1" applyFill="1" applyAlignment="1">
      <alignment/>
    </xf>
    <xf numFmtId="0" fontId="0" fillId="6" borderId="0" xfId="0" applyFill="1" applyAlignment="1">
      <alignment horizontal="center"/>
    </xf>
    <xf numFmtId="0" fontId="1" fillId="6" borderId="0" xfId="0" applyFont="1" applyFill="1" applyAlignment="1">
      <alignment/>
    </xf>
    <xf numFmtId="1" fontId="2" fillId="6" borderId="0" xfId="0" applyNumberFormat="1" applyFont="1" applyFill="1" applyAlignment="1">
      <alignment horizontal="center"/>
    </xf>
    <xf numFmtId="0" fontId="19" fillId="6" borderId="0" xfId="0" applyFont="1" applyFill="1" applyBorder="1" applyAlignment="1">
      <alignment vertical="center" wrapText="1"/>
    </xf>
    <xf numFmtId="0" fontId="22" fillId="6" borderId="0" xfId="0" applyFont="1" applyFill="1" applyBorder="1" applyAlignment="1">
      <alignment vertical="center" wrapText="1"/>
    </xf>
    <xf numFmtId="49" fontId="22" fillId="6" borderId="0" xfId="0" applyNumberFormat="1" applyFont="1" applyFill="1" applyBorder="1" applyAlignment="1">
      <alignment horizontal="center" vertical="center" wrapText="1"/>
    </xf>
    <xf numFmtId="1" fontId="21" fillId="0" borderId="0" xfId="0" applyNumberFormat="1" applyFont="1" applyBorder="1" applyAlignment="1">
      <alignment horizontal="center" vertical="center" wrapText="1"/>
    </xf>
    <xf numFmtId="1" fontId="22" fillId="6" borderId="0" xfId="0" applyNumberFormat="1" applyFont="1" applyFill="1" applyBorder="1" applyAlignment="1">
      <alignment horizontal="center" vertical="center" wrapText="1"/>
    </xf>
    <xf numFmtId="1" fontId="18" fillId="4" borderId="0" xfId="0" applyNumberFormat="1" applyFont="1" applyFill="1" applyBorder="1" applyAlignment="1">
      <alignment horizontal="center" vertical="center" wrapText="1"/>
    </xf>
    <xf numFmtId="1" fontId="17" fillId="4" borderId="0" xfId="0" applyNumberFormat="1" applyFont="1" applyFill="1" applyBorder="1" applyAlignment="1">
      <alignment horizontal="center" vertical="center" wrapText="1"/>
    </xf>
    <xf numFmtId="1" fontId="23" fillId="0" borderId="0" xfId="0" applyNumberFormat="1" applyFont="1" applyBorder="1" applyAlignment="1">
      <alignment horizontal="center" vertical="center"/>
    </xf>
    <xf numFmtId="1" fontId="26" fillId="6" borderId="0"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wrapText="1"/>
    </xf>
    <xf numFmtId="0" fontId="11" fillId="6" borderId="0" xfId="0" applyFont="1" applyFill="1" applyBorder="1" applyAlignment="1">
      <alignment vertical="top"/>
    </xf>
    <xf numFmtId="1" fontId="5" fillId="0" borderId="0" xfId="0" applyNumberFormat="1" applyFont="1" applyAlignment="1">
      <alignment horizontal="center"/>
    </xf>
    <xf numFmtId="49" fontId="5" fillId="0" borderId="0" xfId="0" applyNumberFormat="1" applyFont="1" applyAlignment="1">
      <alignment/>
    </xf>
    <xf numFmtId="0" fontId="0" fillId="0" borderId="0" xfId="0"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horizontal="center"/>
    </xf>
    <xf numFmtId="1" fontId="0" fillId="6" borderId="0" xfId="0" applyNumberFormat="1" applyFill="1" applyAlignment="1">
      <alignment/>
    </xf>
    <xf numFmtId="0" fontId="0" fillId="0" borderId="0" xfId="0" applyFont="1" applyFill="1" applyAlignment="1">
      <alignment/>
    </xf>
    <xf numFmtId="0" fontId="1" fillId="0" borderId="0" xfId="0" applyFont="1" applyFill="1" applyAlignment="1">
      <alignment/>
    </xf>
    <xf numFmtId="0" fontId="1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1" fillId="6" borderId="0" xfId="0" applyFont="1" applyFill="1" applyBorder="1" applyAlignment="1">
      <alignment horizontal="center" vertical="center" wrapText="1"/>
    </xf>
    <xf numFmtId="49" fontId="19" fillId="4" borderId="0" xfId="0" applyNumberFormat="1" applyFont="1" applyFill="1" applyBorder="1" applyAlignment="1">
      <alignment horizontal="center" vertical="center" wrapText="1"/>
    </xf>
    <xf numFmtId="0" fontId="19" fillId="4" borderId="0" xfId="0" applyFont="1" applyFill="1" applyBorder="1" applyAlignment="1">
      <alignment vertical="center" wrapText="1"/>
    </xf>
    <xf numFmtId="49" fontId="22" fillId="0" borderId="0" xfId="0" applyNumberFormat="1" applyFont="1" applyBorder="1" applyAlignment="1">
      <alignment horizontal="center" vertical="center" wrapText="1"/>
    </xf>
    <xf numFmtId="49" fontId="26" fillId="0" borderId="0" xfId="0" applyNumberFormat="1" applyFont="1" applyBorder="1" applyAlignment="1">
      <alignment vertical="center"/>
    </xf>
    <xf numFmtId="0" fontId="20" fillId="6" borderId="0" xfId="0" applyFont="1" applyFill="1" applyBorder="1" applyAlignment="1">
      <alignment horizontal="left" vertical="center" wrapText="1"/>
    </xf>
    <xf numFmtId="0" fontId="0" fillId="0" borderId="0" xfId="0" applyFont="1" applyAlignment="1">
      <alignment horizontal="left"/>
    </xf>
    <xf numFmtId="1" fontId="19" fillId="6" borderId="0" xfId="0" applyNumberFormat="1" applyFont="1" applyFill="1" applyBorder="1" applyAlignment="1">
      <alignment horizontal="center" vertical="center" wrapText="1"/>
    </xf>
    <xf numFmtId="0" fontId="19" fillId="6" borderId="0" xfId="0" applyFont="1" applyFill="1" applyBorder="1" applyAlignment="1">
      <alignment horizontal="center" vertical="center" wrapText="1"/>
    </xf>
    <xf numFmtId="1" fontId="18"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20" fillId="6" borderId="0" xfId="0" applyFont="1" applyFill="1" applyBorder="1" applyAlignment="1">
      <alignment horizontal="center" vertical="center" wrapText="1"/>
    </xf>
    <xf numFmtId="0" fontId="0" fillId="0" borderId="0" xfId="0" applyFont="1" applyAlignment="1">
      <alignment/>
    </xf>
    <xf numFmtId="0" fontId="21" fillId="0" borderId="0" xfId="0" applyFont="1" applyBorder="1" applyAlignment="1">
      <alignment vertical="center" wrapText="1"/>
    </xf>
    <xf numFmtId="0" fontId="2" fillId="0" borderId="0" xfId="0" applyFont="1" applyAlignment="1">
      <alignment/>
    </xf>
    <xf numFmtId="0" fontId="5" fillId="6" borderId="0" xfId="0" applyFont="1" applyFill="1" applyAlignment="1">
      <alignment/>
    </xf>
    <xf numFmtId="1" fontId="7" fillId="6" borderId="0" xfId="0" applyNumberFormat="1" applyFont="1" applyFill="1" applyAlignment="1">
      <alignment horizontal="center"/>
    </xf>
    <xf numFmtId="0" fontId="5" fillId="6" borderId="0" xfId="0" applyFont="1" applyFill="1" applyAlignment="1">
      <alignment horizontal="center"/>
    </xf>
    <xf numFmtId="1" fontId="5" fillId="6" borderId="0" xfId="0" applyNumberFormat="1" applyFont="1" applyFill="1" applyAlignment="1">
      <alignment horizontal="center"/>
    </xf>
    <xf numFmtId="0" fontId="1" fillId="6" borderId="0" xfId="0" applyFont="1" applyFill="1" applyAlignment="1">
      <alignment horizontal="center"/>
    </xf>
    <xf numFmtId="1" fontId="3" fillId="0" borderId="0" xfId="0" applyNumberFormat="1" applyFont="1" applyFill="1" applyAlignment="1">
      <alignment horizontal="center"/>
    </xf>
    <xf numFmtId="0" fontId="11" fillId="4" borderId="0" xfId="0" applyFont="1" applyFill="1" applyBorder="1" applyAlignment="1">
      <alignment vertical="top" wrapText="1"/>
    </xf>
    <xf numFmtId="1" fontId="13" fillId="4" borderId="0" xfId="0" applyNumberFormat="1" applyFont="1" applyFill="1" applyBorder="1" applyAlignment="1">
      <alignment horizontal="center" vertical="top" wrapText="1"/>
    </xf>
    <xf numFmtId="0" fontId="11" fillId="4" borderId="0" xfId="0" applyFont="1" applyFill="1" applyBorder="1" applyAlignment="1">
      <alignment horizontal="center" vertical="top" wrapText="1"/>
    </xf>
    <xf numFmtId="0" fontId="12" fillId="4" borderId="0" xfId="0" applyFont="1" applyFill="1" applyBorder="1" applyAlignment="1">
      <alignment horizontal="center" vertical="top" wrapText="1"/>
    </xf>
    <xf numFmtId="164" fontId="11" fillId="4" borderId="0" xfId="0" applyNumberFormat="1" applyFont="1" applyFill="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center"/>
    </xf>
    <xf numFmtId="0" fontId="0" fillId="0" borderId="0" xfId="0" applyBorder="1" applyAlignment="1">
      <alignment horizontal="center"/>
    </xf>
    <xf numFmtId="49" fontId="0" fillId="0" borderId="0" xfId="0" applyNumberFormat="1" applyFont="1" applyBorder="1" applyAlignment="1">
      <alignment/>
    </xf>
    <xf numFmtId="1" fontId="0" fillId="0" borderId="0" xfId="0" applyNumberFormat="1" applyBorder="1" applyAlignment="1">
      <alignment horizontal="center"/>
    </xf>
    <xf numFmtId="0" fontId="0" fillId="0" borderId="0" xfId="0" applyFont="1" applyBorder="1" applyAlignment="1">
      <alignment/>
    </xf>
    <xf numFmtId="0" fontId="7" fillId="0" borderId="1" xfId="0" applyFont="1" applyBorder="1" applyAlignment="1">
      <alignment/>
    </xf>
    <xf numFmtId="0" fontId="0" fillId="0" borderId="7"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horizontal="left"/>
    </xf>
    <xf numFmtId="0" fontId="0" fillId="0" borderId="3" xfId="0" applyFont="1" applyBorder="1" applyAlignment="1">
      <alignment/>
    </xf>
    <xf numFmtId="1" fontId="0" fillId="0" borderId="4" xfId="0" applyNumberFormat="1" applyBorder="1" applyAlignment="1">
      <alignment horizontal="center"/>
    </xf>
    <xf numFmtId="0" fontId="0" fillId="0" borderId="5" xfId="0" applyFont="1" applyBorder="1" applyAlignment="1">
      <alignment/>
    </xf>
    <xf numFmtId="0" fontId="0" fillId="0" borderId="8" xfId="0" applyFont="1" applyBorder="1" applyAlignment="1">
      <alignment/>
    </xf>
    <xf numFmtId="1" fontId="0" fillId="0" borderId="8" xfId="0" applyNumberFormat="1" applyBorder="1" applyAlignment="1">
      <alignment horizontal="center"/>
    </xf>
    <xf numFmtId="1" fontId="0" fillId="0" borderId="6" xfId="0" applyNumberFormat="1" applyBorder="1" applyAlignment="1">
      <alignment horizontal="center"/>
    </xf>
    <xf numFmtId="0" fontId="0" fillId="0" borderId="7" xfId="0" applyBorder="1" applyAlignment="1">
      <alignment horizontal="center"/>
    </xf>
    <xf numFmtId="0" fontId="2" fillId="0" borderId="3" xfId="0" applyFont="1" applyBorder="1" applyAlignment="1">
      <alignment horizontal="center"/>
    </xf>
    <xf numFmtId="49" fontId="1" fillId="0" borderId="3" xfId="0" applyNumberFormat="1" applyFont="1" applyBorder="1" applyAlignment="1">
      <alignment horizontal="center"/>
    </xf>
    <xf numFmtId="49" fontId="0" fillId="0" borderId="8" xfId="0" applyNumberFormat="1" applyFont="1" applyBorder="1" applyAlignment="1">
      <alignment/>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color rgb="FFCCFFCC"/>
      </font>
      <fill>
        <patternFill>
          <bgColor rgb="FFCCFFCC"/>
        </patternFill>
      </fill>
      <border/>
    </dxf>
    <dxf>
      <font>
        <b/>
        <i val="0"/>
        <color rgb="FFFF0000"/>
      </font>
      <border/>
    </dxf>
    <dxf>
      <font>
        <color auto="1"/>
      </font>
      <fill>
        <patternFill>
          <bgColor rgb="FFC0C0C0"/>
        </patternFill>
      </fill>
      <border/>
    </dxf>
    <dxf>
      <font>
        <color rgb="FFFFFFFF"/>
      </font>
      <fill>
        <patternFill>
          <bgColor rgb="FFFFFFFF"/>
        </patternFill>
      </fill>
      <border/>
    </dxf>
    <dxf>
      <font>
        <color auto="1"/>
      </font>
      <fill>
        <patternFill patternType="none">
          <bgColor indexed="65"/>
        </patternFill>
      </fill>
      <border/>
    </dxf>
    <dxf>
      <font>
        <color rgb="FFFF0000"/>
      </font>
      <border/>
    </dxf>
    <dxf>
      <font>
        <color rgb="FFFFFF00"/>
      </font>
      <border/>
    </dxf>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sheetPr>
  <dimension ref="A1:L163"/>
  <sheetViews>
    <sheetView zoomScale="115" zoomScaleNormal="115" workbookViewId="0" topLeftCell="A1">
      <pane ySplit="2" topLeftCell="BM3" activePane="bottomLeft" state="frozen"/>
      <selection pane="topLeft" activeCell="A1" sqref="A1"/>
      <selection pane="bottomLeft" activeCell="B29" sqref="B29"/>
    </sheetView>
  </sheetViews>
  <sheetFormatPr defaultColWidth="9.140625" defaultRowHeight="12.75"/>
  <cols>
    <col min="1" max="1" width="8.8515625" style="0" customWidth="1"/>
    <col min="2" max="2" width="19.8515625" style="0" customWidth="1"/>
  </cols>
  <sheetData>
    <row r="1" spans="1:3" ht="12.75">
      <c r="A1" s="243" t="s">
        <v>589</v>
      </c>
      <c r="B1" s="243" t="s">
        <v>477</v>
      </c>
      <c r="C1" s="62"/>
    </row>
    <row r="2" spans="1:8" ht="25.5">
      <c r="A2" s="243"/>
      <c r="B2" s="243"/>
      <c r="C2" s="62" t="s">
        <v>585</v>
      </c>
      <c r="D2" t="s">
        <v>586</v>
      </c>
      <c r="E2" s="63" t="s">
        <v>985</v>
      </c>
      <c r="F2" s="63" t="s">
        <v>986</v>
      </c>
      <c r="G2" s="63" t="s">
        <v>587</v>
      </c>
      <c r="H2" t="s">
        <v>588</v>
      </c>
    </row>
    <row r="3" spans="1:3" s="191" customFormat="1" ht="12.75">
      <c r="A3" s="78" t="s">
        <v>494</v>
      </c>
      <c r="B3" s="79"/>
      <c r="C3" s="217"/>
    </row>
    <row r="4" spans="1:8" ht="12.75">
      <c r="A4" s="87"/>
      <c r="B4" s="64" t="s">
        <v>495</v>
      </c>
      <c r="C4" s="62">
        <f aca="true" t="shared" si="0" ref="C4:C36">IF(ISERROR(VLOOKUP(B4,Ships,2,FALSE)),0,VLOOKUP(B4,Ships,2,FALSE))</f>
        <v>218.6048769468331</v>
      </c>
      <c r="D4">
        <v>2</v>
      </c>
      <c r="H4">
        <f aca="true" t="shared" si="1" ref="H4:H71">ROUND(D4*C4*IF(G4&gt;0,(G4/10+1),1),0)</f>
        <v>437</v>
      </c>
    </row>
    <row r="5" spans="1:8" ht="12.75">
      <c r="A5" s="87"/>
      <c r="B5" s="64" t="s">
        <v>1009</v>
      </c>
      <c r="C5" s="62">
        <f t="shared" si="0"/>
        <v>403.6179827521398</v>
      </c>
      <c r="H5">
        <f>ROUND(D5*C5*IF(G5&gt;0,(G5/10+1),1),0)</f>
        <v>0</v>
      </c>
    </row>
    <row r="6" spans="1:8" ht="12.75">
      <c r="A6" s="87"/>
      <c r="B6" s="64" t="s">
        <v>613</v>
      </c>
      <c r="C6" s="62">
        <f t="shared" si="0"/>
        <v>0</v>
      </c>
      <c r="H6">
        <f t="shared" si="1"/>
        <v>0</v>
      </c>
    </row>
    <row r="7" spans="1:8" ht="12.75">
      <c r="A7" s="87"/>
      <c r="B7" s="64" t="s">
        <v>616</v>
      </c>
      <c r="C7" s="62">
        <f t="shared" si="0"/>
        <v>0</v>
      </c>
      <c r="H7">
        <f t="shared" si="1"/>
        <v>0</v>
      </c>
    </row>
    <row r="8" spans="1:8" ht="12.75">
      <c r="A8" s="87"/>
      <c r="B8" s="64" t="s">
        <v>619</v>
      </c>
      <c r="C8" s="62">
        <f t="shared" si="0"/>
        <v>0</v>
      </c>
      <c r="H8">
        <f t="shared" si="1"/>
        <v>0</v>
      </c>
    </row>
    <row r="9" spans="1:8" ht="12.75">
      <c r="A9" s="87"/>
      <c r="B9" s="64" t="s">
        <v>496</v>
      </c>
      <c r="C9" s="62">
        <f t="shared" si="0"/>
        <v>56.928920679318466</v>
      </c>
      <c r="H9">
        <f t="shared" si="1"/>
        <v>0</v>
      </c>
    </row>
    <row r="10" spans="1:8" ht="12.75">
      <c r="A10" s="87"/>
      <c r="B10" s="64" t="s">
        <v>497</v>
      </c>
      <c r="C10" s="62">
        <f t="shared" si="0"/>
        <v>502.21199051482546</v>
      </c>
      <c r="E10">
        <v>6</v>
      </c>
      <c r="F10">
        <f>D10*E10</f>
        <v>0</v>
      </c>
      <c r="H10">
        <f t="shared" si="1"/>
        <v>0</v>
      </c>
    </row>
    <row r="11" spans="1:8" ht="12.75">
      <c r="A11" s="87"/>
      <c r="B11" s="64" t="s">
        <v>498</v>
      </c>
      <c r="C11" s="62">
        <f t="shared" si="0"/>
        <v>34.90582437506727</v>
      </c>
      <c r="E11">
        <v>12</v>
      </c>
      <c r="F11">
        <f>D11*E11</f>
        <v>0</v>
      </c>
      <c r="H11">
        <f t="shared" si="1"/>
        <v>0</v>
      </c>
    </row>
    <row r="12" spans="1:8" ht="12.75">
      <c r="A12" s="87"/>
      <c r="B12" s="64" t="s">
        <v>499</v>
      </c>
      <c r="C12" s="62">
        <f t="shared" si="0"/>
        <v>411.68561095985467</v>
      </c>
      <c r="H12">
        <f t="shared" si="1"/>
        <v>0</v>
      </c>
    </row>
    <row r="13" spans="1:8" ht="12.75">
      <c r="A13" s="87"/>
      <c r="B13" s="64" t="s">
        <v>624</v>
      </c>
      <c r="C13" s="62">
        <f t="shared" si="0"/>
        <v>618.8369954545333</v>
      </c>
      <c r="D13">
        <v>1</v>
      </c>
      <c r="E13">
        <v>24</v>
      </c>
      <c r="F13">
        <v>24</v>
      </c>
      <c r="H13">
        <f t="shared" si="1"/>
        <v>619</v>
      </c>
    </row>
    <row r="14" spans="1:8" ht="12.75">
      <c r="A14" s="87"/>
      <c r="B14" s="64" t="s">
        <v>626</v>
      </c>
      <c r="C14" s="62">
        <f t="shared" si="0"/>
        <v>0</v>
      </c>
      <c r="H14">
        <f t="shared" si="1"/>
        <v>0</v>
      </c>
    </row>
    <row r="15" spans="1:8" ht="12.75">
      <c r="A15" s="87"/>
      <c r="B15" s="64" t="s">
        <v>628</v>
      </c>
      <c r="C15" s="62">
        <f t="shared" si="0"/>
        <v>0</v>
      </c>
      <c r="H15">
        <f t="shared" si="1"/>
        <v>0</v>
      </c>
    </row>
    <row r="16" spans="1:8" ht="12.75">
      <c r="A16" s="87"/>
      <c r="B16" s="64" t="s">
        <v>629</v>
      </c>
      <c r="C16" s="62">
        <f t="shared" si="0"/>
        <v>0</v>
      </c>
      <c r="H16">
        <f t="shared" si="1"/>
        <v>0</v>
      </c>
    </row>
    <row r="17" spans="1:8" s="146" customFormat="1" ht="12.75">
      <c r="A17" s="87"/>
      <c r="B17" s="64" t="s">
        <v>630</v>
      </c>
      <c r="C17" s="62">
        <f t="shared" si="0"/>
        <v>0</v>
      </c>
      <c r="D17"/>
      <c r="E17">
        <v>96</v>
      </c>
      <c r="F17">
        <f>D17*E17</f>
        <v>0</v>
      </c>
      <c r="G17"/>
      <c r="H17">
        <f t="shared" si="1"/>
        <v>0</v>
      </c>
    </row>
    <row r="18" spans="1:8" ht="12.75">
      <c r="A18" s="87"/>
      <c r="B18" s="64" t="s">
        <v>503</v>
      </c>
      <c r="C18" s="62">
        <f t="shared" si="0"/>
        <v>432.158521662766</v>
      </c>
      <c r="H18">
        <f t="shared" si="1"/>
        <v>0</v>
      </c>
    </row>
    <row r="19" spans="1:8" ht="12.75">
      <c r="A19" s="87"/>
      <c r="B19" s="64" t="s">
        <v>504</v>
      </c>
      <c r="C19" s="62">
        <f t="shared" si="0"/>
        <v>110.35820729319832</v>
      </c>
      <c r="H19">
        <f t="shared" si="1"/>
        <v>0</v>
      </c>
    </row>
    <row r="20" spans="1:8" ht="12.75">
      <c r="A20" s="87"/>
      <c r="B20" s="2" t="s">
        <v>505</v>
      </c>
      <c r="C20" s="62">
        <f t="shared" si="0"/>
        <v>92.3779979175708</v>
      </c>
      <c r="D20">
        <v>1</v>
      </c>
      <c r="H20">
        <f t="shared" si="1"/>
        <v>92</v>
      </c>
    </row>
    <row r="21" spans="1:8" ht="12.75">
      <c r="A21" s="87"/>
      <c r="B21" s="64" t="s">
        <v>634</v>
      </c>
      <c r="C21" s="62">
        <f t="shared" si="0"/>
        <v>6742.488177431279</v>
      </c>
      <c r="E21">
        <v>24</v>
      </c>
      <c r="F21">
        <f>D21*E21</f>
        <v>0</v>
      </c>
      <c r="H21">
        <f t="shared" si="1"/>
        <v>0</v>
      </c>
    </row>
    <row r="22" spans="1:8" ht="12.75">
      <c r="A22" s="87"/>
      <c r="B22" s="64" t="s">
        <v>506</v>
      </c>
      <c r="C22" s="62">
        <f t="shared" si="0"/>
        <v>1450.7087970797666</v>
      </c>
      <c r="E22">
        <v>24</v>
      </c>
      <c r="F22">
        <f>D22*E22</f>
        <v>0</v>
      </c>
      <c r="H22">
        <f t="shared" si="1"/>
        <v>0</v>
      </c>
    </row>
    <row r="23" spans="1:8" ht="12.75">
      <c r="A23" s="87"/>
      <c r="B23" s="64" t="s">
        <v>636</v>
      </c>
      <c r="C23" s="62">
        <f t="shared" si="0"/>
        <v>0</v>
      </c>
      <c r="H23">
        <f t="shared" si="1"/>
        <v>0</v>
      </c>
    </row>
    <row r="24" spans="1:8" ht="12.75">
      <c r="A24" s="87"/>
      <c r="B24" s="64" t="s">
        <v>638</v>
      </c>
      <c r="C24" s="62">
        <f t="shared" si="0"/>
        <v>0</v>
      </c>
      <c r="H24">
        <f t="shared" si="1"/>
        <v>0</v>
      </c>
    </row>
    <row r="25" spans="1:8" ht="12.75">
      <c r="A25" s="87"/>
      <c r="B25" s="2" t="s">
        <v>507</v>
      </c>
      <c r="C25" s="62">
        <f t="shared" si="0"/>
        <v>19.915962244905412</v>
      </c>
      <c r="H25">
        <f t="shared" si="1"/>
        <v>0</v>
      </c>
    </row>
    <row r="26" spans="1:8" ht="12.75">
      <c r="A26" s="87"/>
      <c r="B26" s="64" t="s">
        <v>92</v>
      </c>
      <c r="C26" s="62">
        <f t="shared" si="0"/>
        <v>5.27568533108126</v>
      </c>
      <c r="H26">
        <f>ROUND(D26*C26*IF(G26&gt;0,(G26/10+1),1),0)</f>
        <v>0</v>
      </c>
    </row>
    <row r="27" spans="1:8" ht="12.75">
      <c r="A27" s="87"/>
      <c r="B27" s="64" t="s">
        <v>90</v>
      </c>
      <c r="C27" s="62">
        <f t="shared" si="0"/>
        <v>2.7425342702095308</v>
      </c>
      <c r="D27">
        <v>24</v>
      </c>
      <c r="H27">
        <f t="shared" si="1"/>
        <v>66</v>
      </c>
    </row>
    <row r="28" spans="1:8" ht="12.75">
      <c r="A28" s="87"/>
      <c r="B28" s="64" t="s">
        <v>72</v>
      </c>
      <c r="C28" s="62">
        <f t="shared" si="0"/>
        <v>11.829648260462868</v>
      </c>
      <c r="H28">
        <f t="shared" si="1"/>
        <v>0</v>
      </c>
    </row>
    <row r="29" spans="1:8" s="236" customFormat="1" ht="12.75">
      <c r="A29" s="99"/>
      <c r="B29" s="99" t="s">
        <v>1002</v>
      </c>
      <c r="C29" s="62">
        <f t="shared" si="0"/>
        <v>0</v>
      </c>
      <c r="F29" s="236">
        <f>SUM(F4:F24)</f>
        <v>24</v>
      </c>
      <c r="H29" s="236">
        <f>SUM(H4:H28)</f>
        <v>1214</v>
      </c>
    </row>
    <row r="30" spans="1:8" s="191" customFormat="1" ht="12.75">
      <c r="A30" s="78" t="s">
        <v>508</v>
      </c>
      <c r="B30" s="79"/>
      <c r="C30" s="62">
        <f t="shared" si="0"/>
        <v>0</v>
      </c>
      <c r="H30">
        <f t="shared" si="1"/>
        <v>0</v>
      </c>
    </row>
    <row r="31" spans="1:8" ht="12.75">
      <c r="A31" s="102" t="s">
        <v>639</v>
      </c>
      <c r="B31" s="64" t="s">
        <v>510</v>
      </c>
      <c r="C31" s="62">
        <f t="shared" si="0"/>
        <v>4867.490417189188</v>
      </c>
      <c r="E31">
        <v>24</v>
      </c>
      <c r="F31">
        <f>D31*E31</f>
        <v>0</v>
      </c>
      <c r="H31">
        <f t="shared" si="1"/>
        <v>0</v>
      </c>
    </row>
    <row r="32" spans="1:8" ht="25.5">
      <c r="A32" s="102" t="s">
        <v>641</v>
      </c>
      <c r="B32" s="64" t="s">
        <v>642</v>
      </c>
      <c r="C32" s="62">
        <f t="shared" si="0"/>
        <v>0</v>
      </c>
      <c r="H32">
        <f t="shared" si="1"/>
        <v>0</v>
      </c>
    </row>
    <row r="33" spans="1:8" ht="12.75">
      <c r="A33" s="87"/>
      <c r="B33" s="64" t="s">
        <v>644</v>
      </c>
      <c r="C33" s="62">
        <f t="shared" si="0"/>
        <v>0</v>
      </c>
      <c r="E33">
        <v>32</v>
      </c>
      <c r="F33">
        <f>D33*E33</f>
        <v>0</v>
      </c>
      <c r="H33">
        <f t="shared" si="1"/>
        <v>0</v>
      </c>
    </row>
    <row r="34" spans="1:8" s="146" customFormat="1" ht="12.75">
      <c r="A34" s="87"/>
      <c r="B34" s="64" t="s">
        <v>512</v>
      </c>
      <c r="C34" s="62">
        <f t="shared" si="0"/>
        <v>2644.4195536075076</v>
      </c>
      <c r="D34"/>
      <c r="E34"/>
      <c r="F34"/>
      <c r="G34"/>
      <c r="H34">
        <f t="shared" si="1"/>
        <v>0</v>
      </c>
    </row>
    <row r="35" spans="1:8" ht="12.75">
      <c r="A35" s="87"/>
      <c r="B35" s="64" t="s">
        <v>645</v>
      </c>
      <c r="C35" s="62">
        <f t="shared" si="0"/>
        <v>0</v>
      </c>
      <c r="H35">
        <f t="shared" si="1"/>
        <v>0</v>
      </c>
    </row>
    <row r="36" spans="1:8" ht="12.75">
      <c r="A36" s="87"/>
      <c r="B36" s="64" t="s">
        <v>513</v>
      </c>
      <c r="C36" s="62">
        <f t="shared" si="0"/>
        <v>1037.595605865864</v>
      </c>
      <c r="H36">
        <f t="shared" si="1"/>
        <v>0</v>
      </c>
    </row>
    <row r="37" spans="1:8" ht="12.75">
      <c r="A37" s="87"/>
      <c r="B37" s="64" t="s">
        <v>514</v>
      </c>
      <c r="C37" s="62">
        <f aca="true" t="shared" si="2" ref="C37:C68">IF(ISERROR(VLOOKUP(B37,Ships,2,FALSE)),0,VLOOKUP(B37,Ships,2,FALSE))</f>
        <v>5762.311990402681</v>
      </c>
      <c r="E37">
        <v>24</v>
      </c>
      <c r="F37">
        <f>D37*E37</f>
        <v>0</v>
      </c>
      <c r="H37">
        <f t="shared" si="1"/>
        <v>0</v>
      </c>
    </row>
    <row r="38" spans="1:8" ht="12.75">
      <c r="A38" s="87"/>
      <c r="B38" s="64" t="s">
        <v>515</v>
      </c>
      <c r="C38" s="62">
        <f t="shared" si="2"/>
        <v>3378.5366093732914</v>
      </c>
      <c r="E38">
        <v>24</v>
      </c>
      <c r="F38">
        <f>D38*E38</f>
        <v>0</v>
      </c>
      <c r="H38">
        <f t="shared" si="1"/>
        <v>0</v>
      </c>
    </row>
    <row r="39" spans="1:8" ht="12.75">
      <c r="A39" s="87"/>
      <c r="B39" s="64" t="s">
        <v>516</v>
      </c>
      <c r="C39" s="62">
        <f t="shared" si="2"/>
        <v>1092.5463645940895</v>
      </c>
      <c r="E39">
        <v>6</v>
      </c>
      <c r="F39">
        <f>D39*E39</f>
        <v>0</v>
      </c>
      <c r="H39">
        <f t="shared" si="1"/>
        <v>0</v>
      </c>
    </row>
    <row r="40" spans="1:8" ht="12.75">
      <c r="A40" s="87"/>
      <c r="B40" s="64" t="s">
        <v>517</v>
      </c>
      <c r="C40" s="62">
        <f t="shared" si="2"/>
        <v>2361.614347104276</v>
      </c>
      <c r="E40">
        <v>6</v>
      </c>
      <c r="F40">
        <f>D40*E40</f>
        <v>0</v>
      </c>
      <c r="H40">
        <f t="shared" si="1"/>
        <v>0</v>
      </c>
    </row>
    <row r="41" spans="1:8" ht="12.75">
      <c r="A41" s="87"/>
      <c r="B41" s="64" t="s">
        <v>518</v>
      </c>
      <c r="C41" s="62">
        <f t="shared" si="2"/>
        <v>1011.7784168379482</v>
      </c>
      <c r="H41">
        <f t="shared" si="1"/>
        <v>0</v>
      </c>
    </row>
    <row r="42" spans="1:8" ht="12.75">
      <c r="A42" s="87"/>
      <c r="B42" s="64" t="s">
        <v>519</v>
      </c>
      <c r="C42" s="62">
        <f t="shared" si="2"/>
        <v>234.46383018812156</v>
      </c>
      <c r="H42">
        <f t="shared" si="1"/>
        <v>0</v>
      </c>
    </row>
    <row r="43" spans="1:8" ht="15" customHeight="1">
      <c r="A43" s="87"/>
      <c r="B43" s="64" t="s">
        <v>648</v>
      </c>
      <c r="C43" s="62">
        <f t="shared" si="2"/>
        <v>0</v>
      </c>
      <c r="H43">
        <f t="shared" si="1"/>
        <v>0</v>
      </c>
    </row>
    <row r="44" spans="1:8" ht="12.75">
      <c r="A44" s="102"/>
      <c r="B44" s="64" t="s">
        <v>649</v>
      </c>
      <c r="C44" s="62">
        <f t="shared" si="2"/>
        <v>0</v>
      </c>
      <c r="H44">
        <f t="shared" si="1"/>
        <v>0</v>
      </c>
    </row>
    <row r="45" spans="1:8" ht="12.75">
      <c r="A45" s="87"/>
      <c r="B45" s="64" t="s">
        <v>637</v>
      </c>
      <c r="C45" s="62">
        <f t="shared" si="2"/>
        <v>0</v>
      </c>
      <c r="H45">
        <f t="shared" si="1"/>
        <v>0</v>
      </c>
    </row>
    <row r="46" spans="1:8" ht="12.75">
      <c r="A46" s="87"/>
      <c r="B46" s="64" t="s">
        <v>87</v>
      </c>
      <c r="C46" s="62">
        <f t="shared" si="2"/>
        <v>27.846255161430726</v>
      </c>
      <c r="H46">
        <f t="shared" si="1"/>
        <v>0</v>
      </c>
    </row>
    <row r="47" spans="1:8" ht="12.75">
      <c r="A47" s="87"/>
      <c r="B47" s="64" t="s">
        <v>85</v>
      </c>
      <c r="C47" s="62">
        <f t="shared" si="2"/>
        <v>14.653599974369515</v>
      </c>
      <c r="H47">
        <f t="shared" si="1"/>
        <v>0</v>
      </c>
    </row>
    <row r="48" spans="1:3" ht="12.75">
      <c r="A48" s="87"/>
      <c r="B48" s="64"/>
      <c r="C48" s="62">
        <f t="shared" si="2"/>
        <v>0</v>
      </c>
    </row>
    <row r="49" spans="1:8" s="191" customFormat="1" ht="12.75">
      <c r="A49" s="78" t="s">
        <v>522</v>
      </c>
      <c r="B49" s="79"/>
      <c r="C49" s="62">
        <f t="shared" si="2"/>
        <v>0</v>
      </c>
      <c r="H49">
        <f t="shared" si="1"/>
        <v>0</v>
      </c>
    </row>
    <row r="50" spans="1:8" ht="12.75">
      <c r="A50" s="87"/>
      <c r="B50" s="64" t="s">
        <v>523</v>
      </c>
      <c r="C50" s="62">
        <f t="shared" si="2"/>
        <v>98.57040299751661</v>
      </c>
      <c r="E50">
        <v>6</v>
      </c>
      <c r="F50">
        <f>D50*E50</f>
        <v>0</v>
      </c>
      <c r="H50">
        <f t="shared" si="1"/>
        <v>0</v>
      </c>
    </row>
    <row r="51" spans="1:8" ht="12.75">
      <c r="A51" s="87"/>
      <c r="B51" s="64" t="s">
        <v>928</v>
      </c>
      <c r="C51" s="62">
        <f t="shared" si="2"/>
        <v>145.00807382787224</v>
      </c>
      <c r="E51">
        <v>6</v>
      </c>
      <c r="F51">
        <f>D51*E51</f>
        <v>0</v>
      </c>
      <c r="H51">
        <f t="shared" si="1"/>
        <v>0</v>
      </c>
    </row>
    <row r="52" spans="1:8" ht="12.75">
      <c r="A52" s="87"/>
      <c r="B52" s="64" t="s">
        <v>524</v>
      </c>
      <c r="C52" s="62">
        <f t="shared" si="2"/>
        <v>112.36896055677991</v>
      </c>
      <c r="D52">
        <v>1</v>
      </c>
      <c r="E52">
        <v>36</v>
      </c>
      <c r="F52">
        <f>D52*E52</f>
        <v>36</v>
      </c>
      <c r="H52">
        <f t="shared" si="1"/>
        <v>112</v>
      </c>
    </row>
    <row r="53" spans="1:8" s="146" customFormat="1" ht="12.75">
      <c r="A53" s="87"/>
      <c r="B53" s="64" t="s">
        <v>525</v>
      </c>
      <c r="C53" s="62">
        <f t="shared" si="2"/>
        <v>258.49746303724805</v>
      </c>
      <c r="D53"/>
      <c r="E53"/>
      <c r="F53"/>
      <c r="G53"/>
      <c r="H53">
        <f t="shared" si="1"/>
        <v>0</v>
      </c>
    </row>
    <row r="54" spans="1:8" ht="12.75">
      <c r="A54" s="87"/>
      <c r="B54" s="64" t="s">
        <v>656</v>
      </c>
      <c r="C54" s="62">
        <f t="shared" si="2"/>
        <v>0</v>
      </c>
      <c r="E54">
        <v>12</v>
      </c>
      <c r="F54">
        <f>D54*E54</f>
        <v>0</v>
      </c>
      <c r="H54">
        <f t="shared" si="1"/>
        <v>0</v>
      </c>
    </row>
    <row r="55" spans="1:8" ht="12.75">
      <c r="A55" s="87"/>
      <c r="B55" s="64" t="s">
        <v>526</v>
      </c>
      <c r="C55" s="62">
        <f t="shared" si="2"/>
        <v>389.0216279762816</v>
      </c>
      <c r="E55">
        <v>6</v>
      </c>
      <c r="F55">
        <f>D55*E55</f>
        <v>0</v>
      </c>
      <c r="H55">
        <f t="shared" si="1"/>
        <v>0</v>
      </c>
    </row>
    <row r="56" spans="1:8" ht="12.75">
      <c r="A56" s="87"/>
      <c r="B56" s="64" t="s">
        <v>527</v>
      </c>
      <c r="C56" s="62">
        <f t="shared" si="2"/>
        <v>123.72195607609409</v>
      </c>
      <c r="D56">
        <v>1</v>
      </c>
      <c r="H56">
        <f t="shared" si="1"/>
        <v>124</v>
      </c>
    </row>
    <row r="57" spans="1:8" ht="12.75">
      <c r="A57" s="87"/>
      <c r="B57" s="64" t="s">
        <v>901</v>
      </c>
      <c r="C57" s="62">
        <f t="shared" si="2"/>
        <v>73.6337902449139</v>
      </c>
      <c r="H57">
        <f t="shared" si="1"/>
        <v>0</v>
      </c>
    </row>
    <row r="58" spans="1:8" ht="12.75">
      <c r="A58" s="87"/>
      <c r="B58" s="64" t="s">
        <v>528</v>
      </c>
      <c r="C58" s="62">
        <f t="shared" si="2"/>
        <v>95.30623214692439</v>
      </c>
      <c r="H58">
        <f t="shared" si="1"/>
        <v>0</v>
      </c>
    </row>
    <row r="59" spans="1:8" ht="12.75">
      <c r="A59" s="87"/>
      <c r="B59" s="64" t="s">
        <v>529</v>
      </c>
      <c r="C59" s="62">
        <f t="shared" si="2"/>
        <v>65.75762404715061</v>
      </c>
      <c r="H59">
        <f t="shared" si="1"/>
        <v>0</v>
      </c>
    </row>
    <row r="60" spans="1:8" ht="12.75">
      <c r="A60" s="87"/>
      <c r="B60" s="64" t="s">
        <v>662</v>
      </c>
      <c r="C60" s="62">
        <f t="shared" si="2"/>
        <v>0</v>
      </c>
      <c r="H60">
        <f t="shared" si="1"/>
        <v>0</v>
      </c>
    </row>
    <row r="61" spans="1:8" ht="12.75">
      <c r="A61" s="87"/>
      <c r="B61" s="64" t="s">
        <v>530</v>
      </c>
      <c r="C61" s="62">
        <f t="shared" si="2"/>
        <v>122.46158064691961</v>
      </c>
      <c r="D61">
        <v>2</v>
      </c>
      <c r="H61">
        <f t="shared" si="1"/>
        <v>245</v>
      </c>
    </row>
    <row r="62" spans="1:8" ht="12.75">
      <c r="A62" s="87"/>
      <c r="B62" s="64" t="s">
        <v>664</v>
      </c>
      <c r="C62" s="62">
        <f t="shared" si="2"/>
        <v>0</v>
      </c>
      <c r="H62">
        <f t="shared" si="1"/>
        <v>0</v>
      </c>
    </row>
    <row r="63" spans="1:8" ht="12.75">
      <c r="A63" s="87"/>
      <c r="B63" s="64" t="s">
        <v>666</v>
      </c>
      <c r="C63" s="62">
        <f t="shared" si="2"/>
        <v>0</v>
      </c>
      <c r="H63">
        <f t="shared" si="1"/>
        <v>0</v>
      </c>
    </row>
    <row r="64" spans="1:8" ht="12.75">
      <c r="A64" s="87"/>
      <c r="B64" s="64" t="s">
        <v>531</v>
      </c>
      <c r="C64" s="62">
        <f t="shared" si="2"/>
        <v>96.50140056710921</v>
      </c>
      <c r="H64">
        <f t="shared" si="1"/>
        <v>0</v>
      </c>
    </row>
    <row r="65" spans="1:8" ht="12.75">
      <c r="A65" s="87"/>
      <c r="B65" s="64" t="s">
        <v>532</v>
      </c>
      <c r="C65" s="62">
        <f t="shared" si="2"/>
        <v>91.74946744328774</v>
      </c>
      <c r="H65">
        <f t="shared" si="1"/>
        <v>0</v>
      </c>
    </row>
    <row r="66" spans="1:8" ht="12.75">
      <c r="A66" s="87"/>
      <c r="B66" s="64" t="s">
        <v>533</v>
      </c>
      <c r="C66" s="62">
        <f t="shared" si="2"/>
        <v>0</v>
      </c>
      <c r="E66">
        <v>24</v>
      </c>
      <c r="F66">
        <f>D66*E66</f>
        <v>0</v>
      </c>
      <c r="H66">
        <f t="shared" si="1"/>
        <v>0</v>
      </c>
    </row>
    <row r="67" spans="1:8" ht="12.75">
      <c r="A67" s="87"/>
      <c r="B67" s="64" t="s">
        <v>534</v>
      </c>
      <c r="C67" s="62">
        <f t="shared" si="2"/>
        <v>421.9283588797696</v>
      </c>
      <c r="D67">
        <v>1</v>
      </c>
      <c r="E67">
        <v>12</v>
      </c>
      <c r="F67">
        <f>D67*E67</f>
        <v>12</v>
      </c>
      <c r="H67">
        <f t="shared" si="1"/>
        <v>422</v>
      </c>
    </row>
    <row r="68" spans="1:8" ht="12.75">
      <c r="A68" s="87"/>
      <c r="B68" s="64" t="s">
        <v>535</v>
      </c>
      <c r="C68" s="62">
        <f t="shared" si="2"/>
        <v>194.9876911304853</v>
      </c>
      <c r="H68">
        <f t="shared" si="1"/>
        <v>0</v>
      </c>
    </row>
    <row r="69" spans="1:8" s="146" customFormat="1" ht="12.75">
      <c r="A69" s="87"/>
      <c r="B69" s="64" t="s">
        <v>536</v>
      </c>
      <c r="C69" s="62">
        <f aca="true" t="shared" si="3" ref="C69:C100">IF(ISERROR(VLOOKUP(B69,Ships,2,FALSE)),0,VLOOKUP(B69,Ships,2,FALSE))</f>
        <v>65.20150190899118</v>
      </c>
      <c r="D69"/>
      <c r="E69"/>
      <c r="F69"/>
      <c r="G69"/>
      <c r="H69">
        <f t="shared" si="1"/>
        <v>0</v>
      </c>
    </row>
    <row r="70" spans="1:8" ht="12.75">
      <c r="A70" s="87"/>
      <c r="B70" s="64" t="s">
        <v>68</v>
      </c>
      <c r="C70" s="62">
        <f t="shared" si="3"/>
        <v>5.970995103139425</v>
      </c>
      <c r="D70">
        <v>48</v>
      </c>
      <c r="H70">
        <f t="shared" si="1"/>
        <v>287</v>
      </c>
    </row>
    <row r="71" spans="1:8" ht="12.75">
      <c r="A71" s="87"/>
      <c r="B71" s="64" t="s">
        <v>67</v>
      </c>
      <c r="C71" s="62">
        <f t="shared" si="3"/>
        <v>6.064697772982799</v>
      </c>
      <c r="H71">
        <f t="shared" si="1"/>
        <v>0</v>
      </c>
    </row>
    <row r="72" spans="1:9" ht="12.75">
      <c r="A72" s="87"/>
      <c r="B72" s="64" t="s">
        <v>75</v>
      </c>
      <c r="C72" s="62">
        <f t="shared" si="3"/>
        <v>8.39391342876986</v>
      </c>
      <c r="H72">
        <f aca="true" t="shared" si="4" ref="H72:H80">ROUND(D72*C72*IF(G72&gt;0,(G72/10+1),1),0)</f>
        <v>0</v>
      </c>
      <c r="I72">
        <f>SUM(H50:H72)</f>
        <v>1190</v>
      </c>
    </row>
    <row r="73" spans="1:8" s="191" customFormat="1" ht="12.75">
      <c r="A73" s="78" t="s">
        <v>537</v>
      </c>
      <c r="B73" s="79"/>
      <c r="C73" s="62">
        <f t="shared" si="3"/>
        <v>0</v>
      </c>
      <c r="H73">
        <f t="shared" si="4"/>
        <v>0</v>
      </c>
    </row>
    <row r="74" spans="1:8" ht="12.75">
      <c r="A74" s="87"/>
      <c r="B74" s="64" t="s">
        <v>670</v>
      </c>
      <c r="C74" s="62">
        <f t="shared" si="3"/>
        <v>0</v>
      </c>
      <c r="H74">
        <f t="shared" si="4"/>
        <v>0</v>
      </c>
    </row>
    <row r="75" spans="1:8" ht="12.75">
      <c r="A75" s="87"/>
      <c r="B75" s="64" t="s">
        <v>672</v>
      </c>
      <c r="C75" s="62">
        <f t="shared" si="3"/>
        <v>1152.9532083493693</v>
      </c>
      <c r="E75">
        <v>18</v>
      </c>
      <c r="F75">
        <f>D75*E75</f>
        <v>0</v>
      </c>
      <c r="H75">
        <f t="shared" si="4"/>
        <v>0</v>
      </c>
    </row>
    <row r="76" spans="1:8" ht="12.75">
      <c r="A76" s="87"/>
      <c r="B76" s="64" t="s">
        <v>673</v>
      </c>
      <c r="C76" s="62">
        <f t="shared" si="3"/>
        <v>164.40131510283473</v>
      </c>
      <c r="H76">
        <f t="shared" si="4"/>
        <v>0</v>
      </c>
    </row>
    <row r="77" spans="1:8" ht="12.75">
      <c r="A77" s="87"/>
      <c r="B77" s="64" t="s">
        <v>674</v>
      </c>
      <c r="C77" s="62">
        <f t="shared" si="3"/>
        <v>496.1693338771552</v>
      </c>
      <c r="E77">
        <v>6</v>
      </c>
      <c r="F77">
        <f>D77*E77</f>
        <v>0</v>
      </c>
      <c r="H77">
        <f t="shared" si="4"/>
        <v>0</v>
      </c>
    </row>
    <row r="78" spans="1:8" ht="12.75">
      <c r="A78" s="87"/>
      <c r="B78" s="64" t="s">
        <v>675</v>
      </c>
      <c r="C78" s="62">
        <f t="shared" si="3"/>
        <v>314.7898487740487</v>
      </c>
      <c r="E78">
        <v>12</v>
      </c>
      <c r="F78">
        <f>D78*E78</f>
        <v>0</v>
      </c>
      <c r="H78">
        <f t="shared" si="4"/>
        <v>0</v>
      </c>
    </row>
    <row r="79" spans="1:8" ht="12.75">
      <c r="A79" s="87"/>
      <c r="B79" s="64" t="s">
        <v>676</v>
      </c>
      <c r="C79" s="62">
        <f t="shared" si="3"/>
        <v>510.15052620364656</v>
      </c>
      <c r="H79">
        <f t="shared" si="4"/>
        <v>0</v>
      </c>
    </row>
    <row r="80" spans="1:8" ht="12.75">
      <c r="A80" s="87"/>
      <c r="B80" s="64" t="s">
        <v>677</v>
      </c>
      <c r="C80" s="62">
        <f t="shared" si="3"/>
        <v>0</v>
      </c>
      <c r="E80">
        <v>6</v>
      </c>
      <c r="F80">
        <f>D80*E80</f>
        <v>0</v>
      </c>
      <c r="H80">
        <f t="shared" si="4"/>
        <v>0</v>
      </c>
    </row>
    <row r="81" spans="1:6" ht="12.75">
      <c r="A81" s="87"/>
      <c r="B81" s="64" t="s">
        <v>987</v>
      </c>
      <c r="C81" s="62">
        <f t="shared" si="3"/>
        <v>0</v>
      </c>
      <c r="E81">
        <v>6</v>
      </c>
      <c r="F81">
        <f>D81*E81</f>
        <v>0</v>
      </c>
    </row>
    <row r="82" spans="1:8" ht="12.75">
      <c r="A82" s="87"/>
      <c r="B82" s="64" t="s">
        <v>539</v>
      </c>
      <c r="C82" s="62">
        <f t="shared" si="3"/>
        <v>233.63986775743433</v>
      </c>
      <c r="H82">
        <f aca="true" t="shared" si="5" ref="H82:H117">ROUND(D82*C82*IF(G82&gt;0,(G82/10+1),1),0)</f>
        <v>0</v>
      </c>
    </row>
    <row r="83" spans="1:8" ht="12.75">
      <c r="A83" s="87"/>
      <c r="B83" s="64" t="s">
        <v>679</v>
      </c>
      <c r="C83" s="62">
        <f t="shared" si="3"/>
        <v>0</v>
      </c>
      <c r="H83">
        <f t="shared" si="5"/>
        <v>0</v>
      </c>
    </row>
    <row r="84" spans="1:8" ht="12.75">
      <c r="A84" s="87"/>
      <c r="B84" s="64" t="s">
        <v>680</v>
      </c>
      <c r="C84" s="62">
        <f t="shared" si="3"/>
        <v>0</v>
      </c>
      <c r="H84">
        <f t="shared" si="5"/>
        <v>0</v>
      </c>
    </row>
    <row r="85" spans="1:8" s="146" customFormat="1" ht="12.75">
      <c r="A85" s="87"/>
      <c r="B85" s="64" t="s">
        <v>540</v>
      </c>
      <c r="C85" s="62">
        <f t="shared" si="3"/>
        <v>0</v>
      </c>
      <c r="D85"/>
      <c r="E85"/>
      <c r="F85"/>
      <c r="G85"/>
      <c r="H85">
        <f t="shared" si="5"/>
        <v>0</v>
      </c>
    </row>
    <row r="86" spans="1:8" ht="12.75">
      <c r="A86" s="87"/>
      <c r="B86" s="64" t="s">
        <v>988</v>
      </c>
      <c r="C86" s="62">
        <f t="shared" si="3"/>
        <v>214.52253955105775</v>
      </c>
      <c r="E86">
        <v>12</v>
      </c>
      <c r="F86">
        <f>D86*E86</f>
        <v>0</v>
      </c>
      <c r="H86">
        <f t="shared" si="5"/>
        <v>0</v>
      </c>
    </row>
    <row r="87" spans="1:8" ht="12.75">
      <c r="A87" s="87"/>
      <c r="B87" s="64" t="s">
        <v>542</v>
      </c>
      <c r="C87" s="62">
        <f t="shared" si="3"/>
        <v>214.52253955105775</v>
      </c>
      <c r="E87">
        <v>24</v>
      </c>
      <c r="F87">
        <f>D87*E87</f>
        <v>0</v>
      </c>
      <c r="H87">
        <f>ROUND(D87*C87*IF(G87&gt;0,(G87/10+1),1),0)</f>
        <v>0</v>
      </c>
    </row>
    <row r="88" spans="1:8" ht="12.75">
      <c r="A88" s="87"/>
      <c r="B88" s="64" t="s">
        <v>936</v>
      </c>
      <c r="C88" s="62">
        <f t="shared" si="3"/>
        <v>0</v>
      </c>
      <c r="H88">
        <f t="shared" si="5"/>
        <v>0</v>
      </c>
    </row>
    <row r="89" spans="1:8" ht="12.75">
      <c r="A89" s="87"/>
      <c r="B89" s="64" t="s">
        <v>683</v>
      </c>
      <c r="C89" s="62">
        <f t="shared" si="3"/>
        <v>0</v>
      </c>
      <c r="E89">
        <v>6</v>
      </c>
      <c r="F89">
        <f>D89*E89</f>
        <v>0</v>
      </c>
      <c r="H89">
        <f t="shared" si="5"/>
        <v>0</v>
      </c>
    </row>
    <row r="90" spans="1:10" ht="12.75">
      <c r="A90" s="87"/>
      <c r="B90" s="12" t="s">
        <v>88</v>
      </c>
      <c r="C90" s="62">
        <f t="shared" si="3"/>
        <v>3.644376833246881</v>
      </c>
      <c r="H90">
        <f t="shared" si="5"/>
        <v>0</v>
      </c>
      <c r="J90" s="12"/>
    </row>
    <row r="91" spans="1:10" ht="12.75">
      <c r="A91" s="87"/>
      <c r="B91" s="12" t="s">
        <v>59</v>
      </c>
      <c r="C91" s="62">
        <f t="shared" si="3"/>
        <v>5.661495526286207</v>
      </c>
      <c r="H91">
        <f t="shared" si="5"/>
        <v>0</v>
      </c>
      <c r="J91" s="12"/>
    </row>
    <row r="92" spans="1:10" s="191" customFormat="1" ht="12.75">
      <c r="A92" s="78" t="s">
        <v>543</v>
      </c>
      <c r="B92" s="79"/>
      <c r="C92" s="62">
        <f t="shared" si="3"/>
        <v>0</v>
      </c>
      <c r="H92" s="191">
        <f t="shared" si="5"/>
        <v>0</v>
      </c>
      <c r="J92" s="197"/>
    </row>
    <row r="93" spans="1:10" ht="12.75">
      <c r="A93" s="102" t="s">
        <v>639</v>
      </c>
      <c r="B93" s="64" t="s">
        <v>544</v>
      </c>
      <c r="C93" s="62">
        <f t="shared" si="3"/>
        <v>249.83493594451232</v>
      </c>
      <c r="D93">
        <v>1</v>
      </c>
      <c r="H93">
        <f t="shared" si="5"/>
        <v>250</v>
      </c>
      <c r="J93" s="12"/>
    </row>
    <row r="94" spans="1:8" ht="12.75">
      <c r="A94" s="102" t="s">
        <v>685</v>
      </c>
      <c r="B94" s="64" t="s">
        <v>977</v>
      </c>
      <c r="C94" s="62">
        <f t="shared" si="3"/>
        <v>338.29034816931505</v>
      </c>
      <c r="H94">
        <f t="shared" si="5"/>
        <v>0</v>
      </c>
    </row>
    <row r="95" spans="2:10" ht="12.75">
      <c r="B95" s="64" t="s">
        <v>546</v>
      </c>
      <c r="C95" s="62">
        <f t="shared" si="3"/>
        <v>240.22398047705906</v>
      </c>
      <c r="D95">
        <v>1</v>
      </c>
      <c r="H95">
        <f t="shared" si="5"/>
        <v>240</v>
      </c>
      <c r="J95" s="12"/>
    </row>
    <row r="96" spans="1:10" ht="12.75">
      <c r="A96" s="87"/>
      <c r="B96" s="64" t="s">
        <v>548</v>
      </c>
      <c r="C96" s="62">
        <f t="shared" si="3"/>
        <v>369.26754153387844</v>
      </c>
      <c r="H96">
        <f t="shared" si="5"/>
        <v>0</v>
      </c>
      <c r="J96" s="12"/>
    </row>
    <row r="97" spans="1:10" ht="12.75">
      <c r="A97" s="87"/>
      <c r="B97" s="64" t="s">
        <v>549</v>
      </c>
      <c r="C97" s="62">
        <f t="shared" si="3"/>
        <v>678.3065033473102</v>
      </c>
      <c r="H97">
        <f t="shared" si="5"/>
        <v>0</v>
      </c>
      <c r="J97" s="12"/>
    </row>
    <row r="98" spans="1:10" ht="12.75">
      <c r="A98" s="87"/>
      <c r="B98" s="64" t="s">
        <v>550</v>
      </c>
      <c r="C98" s="62">
        <f t="shared" si="3"/>
        <v>478.07835523643354</v>
      </c>
      <c r="D98">
        <v>1</v>
      </c>
      <c r="H98">
        <f t="shared" si="5"/>
        <v>478</v>
      </c>
      <c r="J98" s="12"/>
    </row>
    <row r="99" spans="1:10" ht="12.75">
      <c r="A99" s="87"/>
      <c r="B99" s="64" t="s">
        <v>551</v>
      </c>
      <c r="C99" s="62">
        <f t="shared" si="3"/>
        <v>122.06708740999824</v>
      </c>
      <c r="H99">
        <f t="shared" si="5"/>
        <v>0</v>
      </c>
      <c r="J99" s="12"/>
    </row>
    <row r="100" spans="1:10" s="146" customFormat="1" ht="12.75">
      <c r="A100" s="87"/>
      <c r="B100" s="64" t="s">
        <v>552</v>
      </c>
      <c r="C100" s="62">
        <f t="shared" si="3"/>
        <v>134.72488674220455</v>
      </c>
      <c r="D100"/>
      <c r="E100"/>
      <c r="F100"/>
      <c r="G100"/>
      <c r="H100">
        <f t="shared" si="5"/>
        <v>0</v>
      </c>
      <c r="J100" s="12"/>
    </row>
    <row r="101" spans="1:10" ht="12.75">
      <c r="A101" s="87"/>
      <c r="B101" s="64" t="s">
        <v>553</v>
      </c>
      <c r="C101" s="62">
        <f aca="true" t="shared" si="6" ref="C101:C132">IF(ISERROR(VLOOKUP(B101,Ships,2,FALSE)),0,VLOOKUP(B101,Ships,2,FALSE))</f>
        <v>98.80264930638</v>
      </c>
      <c r="H101">
        <f t="shared" si="5"/>
        <v>0</v>
      </c>
      <c r="J101" s="32"/>
    </row>
    <row r="102" spans="1:10" ht="12.75">
      <c r="A102" s="87"/>
      <c r="B102" s="64" t="s">
        <v>545</v>
      </c>
      <c r="C102" s="62">
        <f t="shared" si="6"/>
        <v>107.47393094819533</v>
      </c>
      <c r="D102">
        <v>1</v>
      </c>
      <c r="H102">
        <f t="shared" si="5"/>
        <v>107</v>
      </c>
      <c r="J102" s="12"/>
    </row>
    <row r="103" spans="1:11" ht="12.75">
      <c r="A103" s="87"/>
      <c r="B103" s="64" t="s">
        <v>554</v>
      </c>
      <c r="C103" s="62">
        <f t="shared" si="6"/>
        <v>0</v>
      </c>
      <c r="H103">
        <f t="shared" si="5"/>
        <v>0</v>
      </c>
      <c r="J103" s="32"/>
      <c r="K103" s="12"/>
    </row>
    <row r="104" spans="1:11" ht="12.75">
      <c r="A104" s="87"/>
      <c r="B104" s="64" t="s">
        <v>547</v>
      </c>
      <c r="C104" s="62">
        <f t="shared" si="6"/>
        <v>0</v>
      </c>
      <c r="D104">
        <v>20</v>
      </c>
      <c r="H104">
        <f t="shared" si="5"/>
        <v>0</v>
      </c>
      <c r="J104" s="12"/>
      <c r="K104" s="135"/>
    </row>
    <row r="105" spans="2:11" ht="12.75">
      <c r="B105" s="12" t="s">
        <v>69</v>
      </c>
      <c r="C105" s="62">
        <f t="shared" si="6"/>
        <v>6.182471172861367</v>
      </c>
      <c r="H105">
        <f t="shared" si="5"/>
        <v>0</v>
      </c>
      <c r="J105" s="12"/>
      <c r="K105" s="12"/>
    </row>
    <row r="106" spans="1:11" ht="12.75">
      <c r="A106" s="12"/>
      <c r="B106" s="12" t="s">
        <v>63</v>
      </c>
      <c r="C106" s="62">
        <f t="shared" si="6"/>
        <v>12.144920665182457</v>
      </c>
      <c r="H106">
        <f t="shared" si="5"/>
        <v>0</v>
      </c>
      <c r="J106" s="12"/>
      <c r="K106" s="12"/>
    </row>
    <row r="107" spans="1:11" s="191" customFormat="1" ht="12.75">
      <c r="A107" s="78" t="s">
        <v>555</v>
      </c>
      <c r="B107" s="79"/>
      <c r="C107" s="62">
        <f t="shared" si="6"/>
        <v>0</v>
      </c>
      <c r="H107" s="191">
        <f t="shared" si="5"/>
        <v>0</v>
      </c>
      <c r="J107" s="197"/>
      <c r="K107" s="197"/>
    </row>
    <row r="108" spans="1:11" s="146" customFormat="1" ht="12.75">
      <c r="A108" s="87"/>
      <c r="B108" s="64" t="s">
        <v>560</v>
      </c>
      <c r="C108" s="62">
        <f t="shared" si="6"/>
        <v>53.69145366367032</v>
      </c>
      <c r="D108"/>
      <c r="E108"/>
      <c r="F108"/>
      <c r="G108"/>
      <c r="H108">
        <f t="shared" si="5"/>
        <v>0</v>
      </c>
      <c r="J108" s="12"/>
      <c r="K108" s="12"/>
    </row>
    <row r="109" spans="1:11" ht="12.75">
      <c r="A109" s="87"/>
      <c r="B109" s="64" t="s">
        <v>556</v>
      </c>
      <c r="C109" s="62">
        <f t="shared" si="6"/>
        <v>195.4724005822905</v>
      </c>
      <c r="H109">
        <f t="shared" si="5"/>
        <v>0</v>
      </c>
      <c r="J109" s="12"/>
      <c r="K109" s="12"/>
    </row>
    <row r="110" spans="1:11" ht="12.75">
      <c r="A110" s="87"/>
      <c r="B110" s="64" t="s">
        <v>563</v>
      </c>
      <c r="C110" s="62">
        <f t="shared" si="6"/>
        <v>239.00044048861338</v>
      </c>
      <c r="H110">
        <f t="shared" si="5"/>
        <v>0</v>
      </c>
      <c r="J110" s="12"/>
      <c r="K110" s="12"/>
    </row>
    <row r="111" spans="1:12" ht="12.75">
      <c r="A111" s="87"/>
      <c r="B111" s="64" t="s">
        <v>688</v>
      </c>
      <c r="C111" s="62">
        <f t="shared" si="6"/>
        <v>197.8482992660719</v>
      </c>
      <c r="H111">
        <f t="shared" si="5"/>
        <v>0</v>
      </c>
      <c r="K111" s="12"/>
      <c r="L111" s="15"/>
    </row>
    <row r="112" spans="1:11" ht="12.75">
      <c r="A112" s="87"/>
      <c r="B112" s="64" t="s">
        <v>559</v>
      </c>
      <c r="C112" s="62">
        <f t="shared" si="6"/>
        <v>165.6590596643889</v>
      </c>
      <c r="H112">
        <f t="shared" si="5"/>
        <v>0</v>
      </c>
      <c r="J112" s="32"/>
      <c r="K112" s="12"/>
    </row>
    <row r="113" spans="1:11" ht="12.75">
      <c r="A113" s="87"/>
      <c r="B113" s="64" t="s">
        <v>562</v>
      </c>
      <c r="C113" s="62">
        <f t="shared" si="6"/>
        <v>150.7152483527429</v>
      </c>
      <c r="H113">
        <f t="shared" si="5"/>
        <v>0</v>
      </c>
      <c r="K113" s="12"/>
    </row>
    <row r="114" spans="1:11" ht="12.75">
      <c r="A114" s="87"/>
      <c r="B114" s="64" t="s">
        <v>558</v>
      </c>
      <c r="C114" s="62">
        <f t="shared" si="6"/>
        <v>149.0434220469294</v>
      </c>
      <c r="H114">
        <f t="shared" si="5"/>
        <v>0</v>
      </c>
      <c r="J114" s="32"/>
      <c r="K114" s="12"/>
    </row>
    <row r="115" spans="1:8" ht="12.75">
      <c r="A115" s="87"/>
      <c r="B115" s="64" t="s">
        <v>557</v>
      </c>
      <c r="C115" s="62">
        <f t="shared" si="6"/>
        <v>213.83198597027015</v>
      </c>
      <c r="H115">
        <f t="shared" si="5"/>
        <v>0</v>
      </c>
    </row>
    <row r="116" spans="1:8" ht="12.75">
      <c r="A116" s="12"/>
      <c r="B116" s="64" t="s">
        <v>689</v>
      </c>
      <c r="C116" s="62">
        <f t="shared" si="6"/>
        <v>118.30612974251463</v>
      </c>
      <c r="H116">
        <f t="shared" si="5"/>
        <v>0</v>
      </c>
    </row>
    <row r="117" spans="1:8" ht="12.75">
      <c r="A117" s="12"/>
      <c r="B117" s="64" t="s">
        <v>962</v>
      </c>
      <c r="C117" s="62">
        <f t="shared" si="6"/>
        <v>44.8485785269257</v>
      </c>
      <c r="H117">
        <f t="shared" si="5"/>
        <v>0</v>
      </c>
    </row>
    <row r="118" spans="2:8" ht="12.75">
      <c r="B118" s="12" t="s">
        <v>566</v>
      </c>
      <c r="C118" s="62">
        <f t="shared" si="6"/>
        <v>17.40710638698532</v>
      </c>
      <c r="H118">
        <f aca="true" t="shared" si="7" ref="H118:H145">ROUND(D118*C118*IF(G118&gt;0,(G118/10+1),1),0)</f>
        <v>0</v>
      </c>
    </row>
    <row r="119" spans="1:8" s="187" customFormat="1" ht="12.75">
      <c r="A119" s="87"/>
      <c r="B119" s="12" t="s">
        <v>66</v>
      </c>
      <c r="C119" s="62">
        <f t="shared" si="6"/>
        <v>7.486300971536144</v>
      </c>
      <c r="D119"/>
      <c r="E119"/>
      <c r="F119"/>
      <c r="G119"/>
      <c r="H119">
        <f t="shared" si="7"/>
        <v>0</v>
      </c>
    </row>
    <row r="120" spans="1:8" s="191" customFormat="1" ht="12.75">
      <c r="A120" s="78" t="s">
        <v>690</v>
      </c>
      <c r="B120" s="79"/>
      <c r="C120" s="62">
        <f t="shared" si="6"/>
        <v>0</v>
      </c>
      <c r="H120" s="191">
        <f t="shared" si="7"/>
        <v>0</v>
      </c>
    </row>
    <row r="121" spans="1:12" ht="12.75">
      <c r="A121" s="87"/>
      <c r="B121" s="12" t="s">
        <v>569</v>
      </c>
      <c r="C121" s="62">
        <f t="shared" si="6"/>
        <v>401.5455130255858</v>
      </c>
      <c r="H121">
        <f t="shared" si="7"/>
        <v>0</v>
      </c>
      <c r="J121" s="12"/>
      <c r="L121" s="12"/>
    </row>
    <row r="122" spans="1:12" ht="12.75">
      <c r="A122" s="87"/>
      <c r="B122" s="12" t="s">
        <v>570</v>
      </c>
      <c r="C122" s="62">
        <f t="shared" si="6"/>
        <v>242.35304395729275</v>
      </c>
      <c r="H122">
        <f t="shared" si="7"/>
        <v>0</v>
      </c>
      <c r="J122" s="135"/>
      <c r="L122" s="12"/>
    </row>
    <row r="123" spans="1:12" ht="12.75">
      <c r="A123" s="87"/>
      <c r="B123" s="12" t="s">
        <v>953</v>
      </c>
      <c r="C123" s="62">
        <f t="shared" si="6"/>
        <v>140.99866076138204</v>
      </c>
      <c r="H123">
        <f t="shared" si="7"/>
        <v>0</v>
      </c>
      <c r="J123" s="12"/>
      <c r="L123" s="12"/>
    </row>
    <row r="124" spans="1:12" ht="12.75">
      <c r="A124" s="87"/>
      <c r="B124" s="64" t="s">
        <v>694</v>
      </c>
      <c r="C124" s="62">
        <f t="shared" si="6"/>
        <v>0</v>
      </c>
      <c r="H124">
        <f t="shared" si="7"/>
        <v>0</v>
      </c>
      <c r="J124" s="12"/>
      <c r="L124" s="12"/>
    </row>
    <row r="125" spans="1:10" ht="12.75">
      <c r="A125" s="87"/>
      <c r="B125" s="12" t="s">
        <v>959</v>
      </c>
      <c r="C125" s="62">
        <f t="shared" si="6"/>
        <v>199.9440511789276</v>
      </c>
      <c r="H125">
        <f t="shared" si="7"/>
        <v>0</v>
      </c>
      <c r="J125" s="12"/>
    </row>
    <row r="126" spans="1:10" s="146" customFormat="1" ht="12.75">
      <c r="A126" s="87"/>
      <c r="B126" s="12" t="s">
        <v>960</v>
      </c>
      <c r="C126" s="62">
        <f t="shared" si="6"/>
        <v>142.66723855260406</v>
      </c>
      <c r="D126"/>
      <c r="E126"/>
      <c r="F126"/>
      <c r="G126"/>
      <c r="H126">
        <f t="shared" si="7"/>
        <v>0</v>
      </c>
      <c r="J126" s="12"/>
    </row>
    <row r="127" spans="1:10" ht="12.75">
      <c r="A127" s="87"/>
      <c r="B127" s="64" t="s">
        <v>696</v>
      </c>
      <c r="C127" s="62">
        <f t="shared" si="6"/>
        <v>0</v>
      </c>
      <c r="H127">
        <f t="shared" si="7"/>
        <v>0</v>
      </c>
      <c r="J127" s="12"/>
    </row>
    <row r="128" spans="1:10" ht="12.75">
      <c r="A128" s="87"/>
      <c r="B128" s="64" t="s">
        <v>950</v>
      </c>
      <c r="C128" s="62">
        <f t="shared" si="6"/>
        <v>964.303069353691</v>
      </c>
      <c r="H128">
        <f t="shared" si="7"/>
        <v>0</v>
      </c>
      <c r="J128" s="12"/>
    </row>
    <row r="129" spans="1:10" ht="12.75">
      <c r="A129" s="87"/>
      <c r="B129" s="12" t="s">
        <v>796</v>
      </c>
      <c r="C129" s="62">
        <f t="shared" si="6"/>
        <v>4.7248517107522</v>
      </c>
      <c r="H129">
        <f t="shared" si="7"/>
        <v>0</v>
      </c>
      <c r="J129" s="12"/>
    </row>
    <row r="130" spans="1:10" s="191" customFormat="1" ht="12.75">
      <c r="A130" s="78" t="s">
        <v>571</v>
      </c>
      <c r="B130" s="79"/>
      <c r="C130" s="62">
        <f t="shared" si="6"/>
        <v>0</v>
      </c>
      <c r="H130" s="191">
        <f t="shared" si="7"/>
        <v>0</v>
      </c>
      <c r="J130" s="197"/>
    </row>
    <row r="131" spans="1:10" s="187" customFormat="1" ht="12.75">
      <c r="A131" s="102" t="s">
        <v>639</v>
      </c>
      <c r="B131" s="64" t="s">
        <v>572</v>
      </c>
      <c r="C131" s="62">
        <f t="shared" si="6"/>
        <v>113.26955185702708</v>
      </c>
      <c r="D131"/>
      <c r="E131"/>
      <c r="F131"/>
      <c r="G131"/>
      <c r="H131">
        <f t="shared" si="7"/>
        <v>0</v>
      </c>
      <c r="J131" s="12"/>
    </row>
    <row r="132" spans="1:10" ht="12.75">
      <c r="A132" s="87"/>
      <c r="B132" s="64" t="s">
        <v>573</v>
      </c>
      <c r="C132" s="62">
        <f t="shared" si="6"/>
        <v>52.90038949471526</v>
      </c>
      <c r="H132">
        <f t="shared" si="7"/>
        <v>0</v>
      </c>
      <c r="J132" s="12"/>
    </row>
    <row r="133" spans="1:10" ht="12.75">
      <c r="A133" s="87"/>
      <c r="B133" s="64" t="s">
        <v>578</v>
      </c>
      <c r="C133" s="62">
        <f aca="true" t="shared" si="8" ref="C133:C163">IF(ISERROR(VLOOKUP(B133,Ships,2,FALSE)),0,VLOOKUP(B133,Ships,2,FALSE))</f>
        <v>432.75064224531144</v>
      </c>
      <c r="H133">
        <f t="shared" si="7"/>
        <v>0</v>
      </c>
      <c r="J133" s="12"/>
    </row>
    <row r="134" spans="1:8" ht="12.75">
      <c r="A134" s="87"/>
      <c r="B134" s="64" t="s">
        <v>577</v>
      </c>
      <c r="C134" s="62">
        <f t="shared" si="8"/>
        <v>184.1136205396579</v>
      </c>
      <c r="H134">
        <f t="shared" si="7"/>
        <v>0</v>
      </c>
    </row>
    <row r="135" spans="1:8" s="146" customFormat="1" ht="12.75">
      <c r="A135" s="100"/>
      <c r="B135" s="64" t="s">
        <v>574</v>
      </c>
      <c r="C135" s="62">
        <f t="shared" si="8"/>
        <v>587.9509139326665</v>
      </c>
      <c r="D135"/>
      <c r="E135"/>
      <c r="F135"/>
      <c r="G135"/>
      <c r="H135">
        <f t="shared" si="7"/>
        <v>0</v>
      </c>
    </row>
    <row r="136" spans="1:8" ht="12.75">
      <c r="A136" s="87"/>
      <c r="B136" s="64" t="s">
        <v>575</v>
      </c>
      <c r="C136" s="62">
        <f t="shared" si="8"/>
        <v>1149.2737425245753</v>
      </c>
      <c r="H136">
        <f t="shared" si="7"/>
        <v>0</v>
      </c>
    </row>
    <row r="137" spans="1:8" ht="12.75">
      <c r="A137" s="87"/>
      <c r="B137" s="64" t="s">
        <v>576</v>
      </c>
      <c r="C137" s="62">
        <f t="shared" si="8"/>
        <v>460.758943446269</v>
      </c>
      <c r="H137">
        <f t="shared" si="7"/>
        <v>0</v>
      </c>
    </row>
    <row r="138" spans="1:8" ht="12.75">
      <c r="A138" s="87"/>
      <c r="B138" s="64" t="s">
        <v>61</v>
      </c>
      <c r="C138" s="62">
        <f t="shared" si="8"/>
        <v>130.3433454819876</v>
      </c>
      <c r="H138">
        <f t="shared" si="7"/>
        <v>0</v>
      </c>
    </row>
    <row r="139" spans="1:8" ht="12.75">
      <c r="A139" s="87"/>
      <c r="B139" s="64" t="s">
        <v>57</v>
      </c>
      <c r="C139" s="62">
        <f t="shared" si="8"/>
        <v>33.723807224351404</v>
      </c>
      <c r="H139">
        <f t="shared" si="7"/>
        <v>0</v>
      </c>
    </row>
    <row r="140" spans="1:8" s="191" customFormat="1" ht="12.75">
      <c r="A140" s="78" t="s">
        <v>579</v>
      </c>
      <c r="B140" s="79"/>
      <c r="C140" s="62">
        <f t="shared" si="8"/>
        <v>0</v>
      </c>
      <c r="H140" s="191">
        <f t="shared" si="7"/>
        <v>0</v>
      </c>
    </row>
    <row r="141" spans="1:8" ht="12.75">
      <c r="A141" s="102" t="s">
        <v>52</v>
      </c>
      <c r="B141" s="64" t="s">
        <v>581</v>
      </c>
      <c r="C141" s="62">
        <f t="shared" si="8"/>
        <v>2217.544748477252</v>
      </c>
      <c r="H141">
        <f t="shared" si="7"/>
        <v>0</v>
      </c>
    </row>
    <row r="142" spans="1:8" ht="12.75">
      <c r="A142" s="102" t="s">
        <v>698</v>
      </c>
      <c r="B142" s="64" t="s">
        <v>582</v>
      </c>
      <c r="C142" s="62">
        <f t="shared" si="8"/>
        <v>2217.544748477252</v>
      </c>
      <c r="H142">
        <f t="shared" si="7"/>
        <v>0</v>
      </c>
    </row>
    <row r="143" spans="2:8" ht="12.75">
      <c r="B143" s="64" t="s">
        <v>580</v>
      </c>
      <c r="C143" s="62">
        <f t="shared" si="8"/>
        <v>2498.2523533126173</v>
      </c>
      <c r="H143">
        <f t="shared" si="7"/>
        <v>0</v>
      </c>
    </row>
    <row r="144" spans="1:8" ht="12.75">
      <c r="A144" s="87"/>
      <c r="B144" s="64" t="s">
        <v>699</v>
      </c>
      <c r="C144" s="62">
        <f t="shared" si="8"/>
        <v>0</v>
      </c>
      <c r="H144">
        <f t="shared" si="7"/>
        <v>0</v>
      </c>
    </row>
    <row r="145" spans="1:8" ht="12.75">
      <c r="A145" s="87"/>
      <c r="B145" s="64" t="s">
        <v>984</v>
      </c>
      <c r="C145" s="62">
        <f t="shared" si="8"/>
        <v>0</v>
      </c>
      <c r="H145">
        <f t="shared" si="7"/>
        <v>0</v>
      </c>
    </row>
    <row r="146" spans="1:3" s="191" customFormat="1" ht="12.75">
      <c r="A146" s="78" t="s">
        <v>701</v>
      </c>
      <c r="B146" s="79"/>
      <c r="C146" s="62">
        <f t="shared" si="8"/>
        <v>0</v>
      </c>
    </row>
    <row r="147" spans="1:3" ht="12.75">
      <c r="A147" s="102" t="s">
        <v>52</v>
      </c>
      <c r="B147" s="64" t="s">
        <v>702</v>
      </c>
      <c r="C147" s="62">
        <f t="shared" si="8"/>
        <v>0</v>
      </c>
    </row>
    <row r="148" spans="1:3" ht="12.75">
      <c r="A148" s="102" t="s">
        <v>698</v>
      </c>
      <c r="B148" s="64" t="s">
        <v>703</v>
      </c>
      <c r="C148" s="62">
        <f t="shared" si="8"/>
        <v>0</v>
      </c>
    </row>
    <row r="149" spans="1:3" ht="12.75">
      <c r="A149" s="87"/>
      <c r="B149" s="64" t="s">
        <v>699</v>
      </c>
      <c r="C149" s="62">
        <f t="shared" si="8"/>
        <v>0</v>
      </c>
    </row>
    <row r="150" spans="1:3" ht="12.75">
      <c r="A150" s="87"/>
      <c r="B150" s="64" t="s">
        <v>584</v>
      </c>
      <c r="C150" s="62">
        <f t="shared" si="8"/>
        <v>0</v>
      </c>
    </row>
    <row r="151" spans="1:3" ht="12.75">
      <c r="A151" s="87"/>
      <c r="B151" s="64" t="s">
        <v>705</v>
      </c>
      <c r="C151" s="62">
        <f t="shared" si="8"/>
        <v>455.74437966490507</v>
      </c>
    </row>
    <row r="152" spans="1:3" ht="12.75">
      <c r="A152" s="87"/>
      <c r="B152" s="64" t="s">
        <v>707</v>
      </c>
      <c r="C152" s="62">
        <f t="shared" si="8"/>
        <v>0</v>
      </c>
    </row>
    <row r="153" spans="1:3" ht="12.75">
      <c r="A153" s="87"/>
      <c r="B153" s="64" t="s">
        <v>708</v>
      </c>
      <c r="C153" s="62">
        <f t="shared" si="8"/>
        <v>0</v>
      </c>
    </row>
    <row r="154" spans="2:3" ht="12.75">
      <c r="B154" s="65" t="s">
        <v>983</v>
      </c>
      <c r="C154" s="62">
        <f t="shared" si="8"/>
        <v>0</v>
      </c>
    </row>
    <row r="155" spans="1:3" s="191" customFormat="1" ht="12.75">
      <c r="A155" s="78" t="s">
        <v>19</v>
      </c>
      <c r="B155" s="79"/>
      <c r="C155" s="62">
        <f t="shared" si="8"/>
        <v>0</v>
      </c>
    </row>
    <row r="156" spans="1:3" ht="12.75">
      <c r="A156" s="102"/>
      <c r="B156" s="64" t="s">
        <v>882</v>
      </c>
      <c r="C156" s="62">
        <f t="shared" si="8"/>
        <v>91.37569704989069</v>
      </c>
    </row>
    <row r="157" spans="1:3" ht="12.75">
      <c r="A157" s="102"/>
      <c r="B157" s="64" t="s">
        <v>883</v>
      </c>
      <c r="C157" s="62">
        <f t="shared" si="8"/>
        <v>244.29962750077385</v>
      </c>
    </row>
    <row r="158" spans="1:3" ht="12.75">
      <c r="A158" s="102"/>
      <c r="B158" s="64" t="s">
        <v>877</v>
      </c>
      <c r="C158" s="62">
        <f t="shared" si="8"/>
        <v>455.74437966490507</v>
      </c>
    </row>
    <row r="159" spans="1:3" ht="12.75">
      <c r="A159" s="102"/>
      <c r="B159" s="64" t="s">
        <v>880</v>
      </c>
      <c r="C159" s="62">
        <f t="shared" si="8"/>
        <v>1074.601484536318</v>
      </c>
    </row>
    <row r="160" spans="1:3" ht="12.75">
      <c r="A160" s="102"/>
      <c r="B160" s="65" t="s">
        <v>878</v>
      </c>
      <c r="C160" s="62">
        <f t="shared" si="8"/>
        <v>0</v>
      </c>
    </row>
    <row r="161" spans="1:3" s="191" customFormat="1" ht="12.75">
      <c r="A161" s="211" t="s">
        <v>932</v>
      </c>
      <c r="B161" s="79"/>
      <c r="C161" s="62">
        <f t="shared" si="8"/>
        <v>0</v>
      </c>
    </row>
    <row r="162" spans="1:3" ht="12.75">
      <c r="A162" s="102"/>
      <c r="B162" s="64" t="s">
        <v>934</v>
      </c>
      <c r="C162" s="62">
        <f t="shared" si="8"/>
        <v>0</v>
      </c>
    </row>
    <row r="163" ht="12.75">
      <c r="C163" s="62">
        <f t="shared" si="8"/>
        <v>0</v>
      </c>
    </row>
  </sheetData>
  <mergeCells count="2">
    <mergeCell ref="B1:B2"/>
    <mergeCell ref="A1:A2"/>
  </mergeCells>
  <conditionalFormatting sqref="C4:C163 H4:H80">
    <cfRule type="expression" priority="1" dxfId="0" stopIfTrue="1">
      <formula>$B4=""</formula>
    </cfRule>
  </conditionalFormatting>
  <conditionalFormatting sqref="B1:B3 B177:B65536">
    <cfRule type="expression" priority="2" dxfId="1" stopIfTrue="1">
      <formula>$C$4=0</formula>
    </cfRule>
  </conditionalFormatting>
  <conditionalFormatting sqref="B4:B176">
    <cfRule type="expression" priority="3" dxfId="2" stopIfTrue="1">
      <formula>$C4=0</formula>
    </cfRule>
  </conditionalFormatting>
  <printOptions/>
  <pageMargins left="0.75" right="0.75" top="1" bottom="1" header="0.5" footer="0.5"/>
  <pageSetup orientation="portrait" paperSize="9" r:id="rId1"/>
  <ignoredErrors>
    <ignoredError sqref="H29" formula="1"/>
  </ignoredErrors>
</worksheet>
</file>

<file path=xl/worksheets/sheet2.xml><?xml version="1.0" encoding="utf-8"?>
<worksheet xmlns="http://schemas.openxmlformats.org/spreadsheetml/2006/main" xmlns:r="http://schemas.openxmlformats.org/officeDocument/2006/relationships">
  <sheetPr>
    <tabColor indexed="27"/>
  </sheetPr>
  <dimension ref="A1:BH310"/>
  <sheetViews>
    <sheetView workbookViewId="0" topLeftCell="A1">
      <pane xSplit="3" ySplit="4" topLeftCell="D110" activePane="bottomRight" state="frozen"/>
      <selection pane="topLeft" activeCell="A1" sqref="A1"/>
      <selection pane="topRight" activeCell="C1" sqref="C1"/>
      <selection pane="bottomLeft" activeCell="A5" sqref="A5"/>
      <selection pane="bottomRight" activeCell="C148" sqref="C148"/>
    </sheetView>
  </sheetViews>
  <sheetFormatPr defaultColWidth="9.140625" defaultRowHeight="12.75"/>
  <cols>
    <col min="2" max="2" width="18.140625" style="0" customWidth="1"/>
    <col min="24" max="59" width="9.140625" style="134" customWidth="1"/>
  </cols>
  <sheetData>
    <row r="1" spans="3:59" ht="12.75">
      <c r="C1" s="42"/>
      <c r="D1" s="42"/>
      <c r="E1" s="5"/>
      <c r="F1" s="5"/>
      <c r="G1" s="7"/>
      <c r="H1" s="5"/>
      <c r="I1" s="5"/>
      <c r="J1" s="5"/>
      <c r="K1" s="5"/>
      <c r="L1" s="5"/>
      <c r="M1" s="5"/>
      <c r="N1" s="5"/>
      <c r="O1" s="5"/>
      <c r="P1" s="5"/>
      <c r="Q1" s="5"/>
      <c r="R1" s="5"/>
      <c r="S1" s="5"/>
      <c r="T1" s="5"/>
      <c r="U1" s="5"/>
      <c r="V1" s="5"/>
      <c r="W1" s="7"/>
      <c r="X1" s="43"/>
      <c r="Y1" s="43"/>
      <c r="Z1" s="43"/>
      <c r="AA1" s="43"/>
      <c r="AB1" s="43"/>
      <c r="AC1" s="43"/>
      <c r="AD1" s="43"/>
      <c r="AE1" s="43"/>
      <c r="AF1" s="43"/>
      <c r="AG1" s="43"/>
      <c r="AH1" s="43"/>
      <c r="AI1" s="43"/>
      <c r="AJ1" s="43"/>
      <c r="AK1" s="43"/>
      <c r="AL1" s="43"/>
      <c r="AM1" s="43"/>
      <c r="AN1" s="44"/>
      <c r="AO1" s="43"/>
      <c r="AP1" s="43"/>
      <c r="AQ1" s="43"/>
      <c r="AR1" s="43"/>
      <c r="AS1" s="43"/>
      <c r="AT1" s="43"/>
      <c r="AU1" s="43"/>
      <c r="AV1" s="43"/>
      <c r="AW1" s="43"/>
      <c r="AX1" s="43"/>
      <c r="AY1" s="43"/>
      <c r="AZ1" s="43"/>
      <c r="BA1" s="43"/>
      <c r="BB1" s="43"/>
      <c r="BC1" s="43"/>
      <c r="BD1" s="43"/>
      <c r="BE1" s="43"/>
      <c r="BF1" s="43"/>
      <c r="BG1" s="43"/>
    </row>
    <row r="2" spans="2:59" ht="25.5">
      <c r="B2" s="45"/>
      <c r="C2" s="46" t="s">
        <v>475</v>
      </c>
      <c r="D2" s="212" t="s">
        <v>589</v>
      </c>
      <c r="E2" s="47" t="s">
        <v>477</v>
      </c>
      <c r="F2" s="48" t="s">
        <v>478</v>
      </c>
      <c r="G2" s="49" t="s">
        <v>479</v>
      </c>
      <c r="H2" s="47" t="s">
        <v>468</v>
      </c>
      <c r="I2" s="47" t="s">
        <v>480</v>
      </c>
      <c r="J2" s="47" t="s">
        <v>481</v>
      </c>
      <c r="K2" s="47" t="s">
        <v>482</v>
      </c>
      <c r="L2" s="47" t="s">
        <v>483</v>
      </c>
      <c r="M2" s="47" t="s">
        <v>484</v>
      </c>
      <c r="N2" s="47" t="s">
        <v>485</v>
      </c>
      <c r="O2" s="47" t="s">
        <v>486</v>
      </c>
      <c r="P2" s="47" t="s">
        <v>487</v>
      </c>
      <c r="Q2" s="47" t="s">
        <v>488</v>
      </c>
      <c r="R2" s="47" t="s">
        <v>489</v>
      </c>
      <c r="S2" s="47" t="s">
        <v>73</v>
      </c>
      <c r="T2" s="188" t="s">
        <v>896</v>
      </c>
      <c r="U2" s="47"/>
      <c r="V2" s="47"/>
      <c r="W2" s="49" t="s">
        <v>490</v>
      </c>
      <c r="X2" s="43"/>
      <c r="Y2" s="50" t="s">
        <v>490</v>
      </c>
      <c r="Z2" s="50"/>
      <c r="AA2" s="50"/>
      <c r="AB2" s="50"/>
      <c r="AC2" s="50"/>
      <c r="AD2" s="50"/>
      <c r="AE2" s="50"/>
      <c r="AF2" s="50"/>
      <c r="AG2" s="50"/>
      <c r="AH2" s="50"/>
      <c r="AI2" s="50"/>
      <c r="AJ2" s="50"/>
      <c r="AK2" s="50"/>
      <c r="AL2" s="50"/>
      <c r="AM2" s="50"/>
      <c r="AN2" s="51"/>
      <c r="AO2" s="50"/>
      <c r="AP2" s="50"/>
      <c r="AQ2" s="50"/>
      <c r="AR2" s="50"/>
      <c r="AS2" s="50"/>
      <c r="AT2" s="50"/>
      <c r="AU2" s="50"/>
      <c r="AV2" s="50"/>
      <c r="AW2" s="50"/>
      <c r="AX2" s="50"/>
      <c r="AY2" s="43"/>
      <c r="AZ2" s="43"/>
      <c r="BA2" s="43"/>
      <c r="BB2" s="43"/>
      <c r="BC2" s="43"/>
      <c r="BD2" s="43"/>
      <c r="BE2" s="43"/>
      <c r="BF2" s="43"/>
      <c r="BG2" s="43"/>
    </row>
    <row r="3" spans="2:59" ht="12.75">
      <c r="B3" s="45"/>
      <c r="C3" s="46"/>
      <c r="D3" s="46"/>
      <c r="E3" s="47" t="s">
        <v>43</v>
      </c>
      <c r="F3" s="47"/>
      <c r="G3" s="49"/>
      <c r="H3" s="47"/>
      <c r="I3" s="47"/>
      <c r="J3" s="47" t="s">
        <v>957</v>
      </c>
      <c r="K3" s="47"/>
      <c r="L3" s="47"/>
      <c r="M3" s="47"/>
      <c r="N3" s="47" t="s">
        <v>491</v>
      </c>
      <c r="O3" s="47"/>
      <c r="P3" s="47"/>
      <c r="Q3" s="47"/>
      <c r="R3" s="47"/>
      <c r="S3" s="47" t="s">
        <v>946</v>
      </c>
      <c r="T3" s="47"/>
      <c r="U3" s="47"/>
      <c r="V3" s="47"/>
      <c r="W3" s="49" t="s">
        <v>492</v>
      </c>
      <c r="X3" s="50"/>
      <c r="Y3" s="50"/>
      <c r="Z3" s="50"/>
      <c r="AA3" s="50"/>
      <c r="AB3" s="50"/>
      <c r="AC3" s="50"/>
      <c r="AD3" s="50"/>
      <c r="AE3" s="50"/>
      <c r="AF3" s="50"/>
      <c r="AG3" s="50"/>
      <c r="AH3" s="50"/>
      <c r="AI3" s="50"/>
      <c r="AJ3" s="50"/>
      <c r="AK3" s="50"/>
      <c r="AL3" s="50"/>
      <c r="AM3" s="50"/>
      <c r="AN3" s="51"/>
      <c r="AO3" s="50"/>
      <c r="AP3" s="50"/>
      <c r="AQ3" s="50"/>
      <c r="AR3" s="50"/>
      <c r="AS3" s="50"/>
      <c r="AT3" s="50"/>
      <c r="AU3" s="50"/>
      <c r="AV3" s="50"/>
      <c r="AW3" s="50"/>
      <c r="AX3" s="50"/>
      <c r="AY3" s="43"/>
      <c r="AZ3" s="43"/>
      <c r="BA3" s="43"/>
      <c r="BB3" s="43"/>
      <c r="BC3" s="43"/>
      <c r="BD3" s="43"/>
      <c r="BE3" s="43"/>
      <c r="BF3" s="43"/>
      <c r="BG3" s="43"/>
    </row>
    <row r="4" spans="2:59" ht="12.75">
      <c r="B4" s="45"/>
      <c r="C4" s="46"/>
      <c r="D4" s="46"/>
      <c r="E4" s="47" t="s">
        <v>493</v>
      </c>
      <c r="F4" s="47"/>
      <c r="G4" s="49"/>
      <c r="H4" s="47"/>
      <c r="I4" s="47"/>
      <c r="J4" s="47"/>
      <c r="K4" s="47"/>
      <c r="L4" s="47"/>
      <c r="M4" s="47"/>
      <c r="N4" s="47"/>
      <c r="O4" s="47"/>
      <c r="P4" s="47"/>
      <c r="Q4" s="47"/>
      <c r="R4" s="47"/>
      <c r="S4" s="47"/>
      <c r="T4" s="47"/>
      <c r="U4" s="47"/>
      <c r="V4" s="47"/>
      <c r="W4" s="49"/>
      <c r="X4" s="50"/>
      <c r="Y4" s="50"/>
      <c r="Z4" s="50"/>
      <c r="AA4" s="50"/>
      <c r="AB4" s="50"/>
      <c r="AC4" s="50"/>
      <c r="AD4" s="50"/>
      <c r="AE4" s="50"/>
      <c r="AF4" s="50"/>
      <c r="AG4" s="50"/>
      <c r="AH4" s="50"/>
      <c r="AI4" s="50"/>
      <c r="AJ4" s="50"/>
      <c r="AK4" s="50"/>
      <c r="AL4" s="50"/>
      <c r="AM4" s="50"/>
      <c r="AN4" s="51"/>
      <c r="AO4" s="50"/>
      <c r="AP4" s="50"/>
      <c r="AQ4" s="50"/>
      <c r="AR4" s="50"/>
      <c r="AS4" s="50"/>
      <c r="AT4" s="50"/>
      <c r="AU4" s="50"/>
      <c r="AV4" s="50"/>
      <c r="AW4" s="50"/>
      <c r="AX4" s="50"/>
      <c r="AY4" s="43"/>
      <c r="AZ4" s="43"/>
      <c r="BA4" s="43"/>
      <c r="BB4" s="43"/>
      <c r="BC4" s="43"/>
      <c r="BD4" s="43"/>
      <c r="BE4" s="43"/>
      <c r="BF4" s="43"/>
      <c r="BG4" s="43"/>
    </row>
    <row r="5" spans="1:59" s="191" customFormat="1" ht="12.75">
      <c r="A5" s="189" t="s">
        <v>494</v>
      </c>
      <c r="B5" s="237"/>
      <c r="C5" s="238"/>
      <c r="D5" s="238"/>
      <c r="E5" s="239"/>
      <c r="F5" s="239"/>
      <c r="G5" s="240"/>
      <c r="H5" s="239"/>
      <c r="I5" s="239"/>
      <c r="J5" s="239"/>
      <c r="K5" s="239"/>
      <c r="L5" s="239"/>
      <c r="M5" s="239"/>
      <c r="N5" s="239"/>
      <c r="O5" s="239"/>
      <c r="P5" s="239"/>
      <c r="Q5" s="239"/>
      <c r="R5" s="239"/>
      <c r="S5" s="239"/>
      <c r="T5" s="239"/>
      <c r="U5" s="239"/>
      <c r="V5" s="239"/>
      <c r="W5" s="240"/>
      <c r="X5" s="241"/>
      <c r="Y5" s="241"/>
      <c r="Z5" s="241"/>
      <c r="AA5" s="241"/>
      <c r="AB5" s="241"/>
      <c r="AC5" s="241"/>
      <c r="AD5" s="241"/>
      <c r="AE5" s="241"/>
      <c r="AF5" s="241"/>
      <c r="AG5" s="241"/>
      <c r="AH5" s="241"/>
      <c r="AI5" s="241"/>
      <c r="AJ5" s="241"/>
      <c r="AK5" s="241"/>
      <c r="AL5" s="241"/>
      <c r="AM5" s="241"/>
      <c r="AN5" s="239"/>
      <c r="AO5" s="241"/>
      <c r="AP5" s="241"/>
      <c r="AQ5" s="241"/>
      <c r="AR5" s="241"/>
      <c r="AS5" s="241"/>
      <c r="AT5" s="241"/>
      <c r="AU5" s="241"/>
      <c r="AV5" s="241"/>
      <c r="AW5" s="241"/>
      <c r="AX5" s="241"/>
      <c r="AY5" s="196"/>
      <c r="AZ5" s="196"/>
      <c r="BA5" s="196"/>
      <c r="BB5" s="196"/>
      <c r="BC5" s="196"/>
      <c r="BD5" s="196"/>
      <c r="BE5" s="196"/>
      <c r="BF5" s="196"/>
      <c r="BG5" s="196"/>
    </row>
    <row r="6" spans="2:59" s="191" customFormat="1" ht="12.75">
      <c r="B6" s="189"/>
      <c r="C6" s="192"/>
      <c r="D6" s="192"/>
      <c r="E6" s="198"/>
      <c r="F6" s="198"/>
      <c r="G6" s="125"/>
      <c r="H6" s="198"/>
      <c r="I6" s="198"/>
      <c r="J6" s="198"/>
      <c r="K6" s="198"/>
      <c r="L6" s="198"/>
      <c r="M6" s="198"/>
      <c r="N6" s="198"/>
      <c r="O6" s="198"/>
      <c r="P6" s="198"/>
      <c r="Q6" s="198"/>
      <c r="R6" s="198"/>
      <c r="S6" s="198"/>
      <c r="T6" s="198"/>
      <c r="U6" s="198"/>
      <c r="V6" s="198"/>
      <c r="W6" s="125"/>
      <c r="X6" s="196"/>
      <c r="Y6" s="196"/>
      <c r="Z6" s="196"/>
      <c r="AA6" s="196"/>
      <c r="AB6" s="196"/>
      <c r="AC6" s="196"/>
      <c r="AD6" s="196"/>
      <c r="AE6" s="196"/>
      <c r="AF6" s="196"/>
      <c r="AG6" s="196"/>
      <c r="AH6" s="196"/>
      <c r="AI6" s="196"/>
      <c r="AJ6" s="196"/>
      <c r="AK6" s="196"/>
      <c r="AL6" s="196"/>
      <c r="AM6" s="196"/>
      <c r="AN6" s="198"/>
      <c r="AO6" s="196"/>
      <c r="AP6" s="196"/>
      <c r="AQ6" s="196"/>
      <c r="AR6" s="196"/>
      <c r="AS6" s="196"/>
      <c r="AT6" s="196"/>
      <c r="AU6" s="196"/>
      <c r="AV6" s="196"/>
      <c r="AW6" s="196"/>
      <c r="AX6" s="196"/>
      <c r="AY6" s="196"/>
      <c r="AZ6" s="196"/>
      <c r="BA6" s="196"/>
      <c r="BB6" s="196"/>
      <c r="BC6" s="196"/>
      <c r="BD6" s="196"/>
      <c r="BE6" s="196"/>
      <c r="BF6" s="196"/>
      <c r="BG6" s="196"/>
    </row>
    <row r="7" spans="3:59" s="141" customFormat="1" ht="12.75">
      <c r="C7" s="42"/>
      <c r="D7" s="242"/>
      <c r="E7" s="214"/>
      <c r="F7" s="214"/>
      <c r="G7" s="139"/>
      <c r="H7" s="214"/>
      <c r="I7" s="214"/>
      <c r="J7" s="214"/>
      <c r="K7" s="214"/>
      <c r="L7" s="214"/>
      <c r="M7" s="214"/>
      <c r="N7" s="214"/>
      <c r="O7" s="214"/>
      <c r="P7" s="214"/>
      <c r="Q7" s="214"/>
      <c r="R7" s="214"/>
      <c r="S7" s="214"/>
      <c r="T7" s="214"/>
      <c r="U7" s="214"/>
      <c r="V7" s="214"/>
      <c r="W7" s="139"/>
      <c r="X7" s="43" t="s">
        <v>268</v>
      </c>
      <c r="Y7" s="43" t="s">
        <v>268</v>
      </c>
      <c r="Z7" s="43" t="s">
        <v>268</v>
      </c>
      <c r="AA7" s="43" t="s">
        <v>268</v>
      </c>
      <c r="AB7" s="43" t="s">
        <v>268</v>
      </c>
      <c r="AC7" s="43" t="s">
        <v>268</v>
      </c>
      <c r="AD7" s="43" t="s">
        <v>396</v>
      </c>
      <c r="AE7" s="43" t="s">
        <v>396</v>
      </c>
      <c r="AF7" s="43" t="s">
        <v>396</v>
      </c>
      <c r="AG7" s="43" t="s">
        <v>396</v>
      </c>
      <c r="AH7" s="43" t="s">
        <v>259</v>
      </c>
      <c r="AI7" s="43" t="s">
        <v>259</v>
      </c>
      <c r="AJ7" s="43"/>
      <c r="AK7" s="43"/>
      <c r="AL7" s="43"/>
      <c r="AM7" s="43"/>
      <c r="AN7" s="44"/>
      <c r="AO7" s="43"/>
      <c r="AP7" s="43"/>
      <c r="AQ7" s="43"/>
      <c r="AR7" s="43"/>
      <c r="AS7" s="43"/>
      <c r="AT7" s="43"/>
      <c r="AU7" s="43"/>
      <c r="AV7" s="43"/>
      <c r="AW7" s="43"/>
      <c r="AX7" s="43"/>
      <c r="AY7" s="43"/>
      <c r="AZ7" s="43"/>
      <c r="BA7" s="43"/>
      <c r="BB7" s="43"/>
      <c r="BC7" s="43"/>
      <c r="BD7" s="43"/>
      <c r="BE7" s="43"/>
      <c r="BF7" s="43"/>
      <c r="BG7" s="43"/>
    </row>
    <row r="8" spans="2:59" ht="12.75">
      <c r="B8" s="2" t="s">
        <v>495</v>
      </c>
      <c r="C8" s="1">
        <f>E8*(VLOOKUP(D8,Race,2,FALSE)*(N8*init_bonus+O8+P8*front+Q8*Back+R8+S8*armour+SUM(T8:V8))*(Thrust_base+(I8/J8)/Thrust_div)*POWER(W8,Weapon_power))/(POWER(signature,(L8-M8)))*IF(K8="Y",gravitic,1)*IF(H8="Y",agile,1)/divisor</f>
        <v>218.6048769468331</v>
      </c>
      <c r="D8" s="1" t="s">
        <v>494</v>
      </c>
      <c r="E8" s="52">
        <v>1</v>
      </c>
      <c r="F8" s="52">
        <v>0</v>
      </c>
      <c r="G8" s="1">
        <v>0</v>
      </c>
      <c r="H8" s="52" t="s">
        <v>21</v>
      </c>
      <c r="I8" s="52">
        <v>8</v>
      </c>
      <c r="J8" s="52">
        <v>2</v>
      </c>
      <c r="K8" s="52" t="s">
        <v>21</v>
      </c>
      <c r="L8" s="52">
        <v>6</v>
      </c>
      <c r="M8" s="52">
        <v>5</v>
      </c>
      <c r="N8" s="52">
        <v>6</v>
      </c>
      <c r="O8" s="52">
        <v>45</v>
      </c>
      <c r="P8" s="52">
        <v>40</v>
      </c>
      <c r="Q8" s="52">
        <v>40</v>
      </c>
      <c r="R8" s="52">
        <v>0</v>
      </c>
      <c r="S8" s="52">
        <v>4</v>
      </c>
      <c r="T8" s="52"/>
      <c r="U8" s="52"/>
      <c r="V8" s="52"/>
      <c r="W8" s="1">
        <f>SUM(X8:BD8)*(num_weapons_base+num_weapons_mod*COUNT(X8:BD8))</f>
        <v>197.23672670658686</v>
      </c>
      <c r="X8" s="53">
        <f aca="true" t="shared" si="0" ref="X8:AI8">VLOOKUP(X7,weapon,2,FALSE)</f>
        <v>14.712574850299404</v>
      </c>
      <c r="Y8" s="53">
        <f t="shared" si="0"/>
        <v>14.712574850299404</v>
      </c>
      <c r="Z8" s="53">
        <f t="shared" si="0"/>
        <v>14.712574850299404</v>
      </c>
      <c r="AA8" s="53">
        <f t="shared" si="0"/>
        <v>14.712574850299404</v>
      </c>
      <c r="AB8" s="53">
        <f t="shared" si="0"/>
        <v>14.712574850299404</v>
      </c>
      <c r="AC8" s="53">
        <f t="shared" si="0"/>
        <v>14.712574850299404</v>
      </c>
      <c r="AD8" s="53">
        <f t="shared" si="0"/>
        <v>10.023750000000001</v>
      </c>
      <c r="AE8" s="53">
        <f t="shared" si="0"/>
        <v>10.023750000000001</v>
      </c>
      <c r="AF8" s="53">
        <f t="shared" si="0"/>
        <v>10.023750000000001</v>
      </c>
      <c r="AG8" s="53">
        <f t="shared" si="0"/>
        <v>10.023750000000001</v>
      </c>
      <c r="AH8" s="53">
        <f t="shared" si="0"/>
        <v>4.2997499999999995</v>
      </c>
      <c r="AI8" s="53">
        <f t="shared" si="0"/>
        <v>4.2997499999999995</v>
      </c>
      <c r="AJ8" s="53"/>
      <c r="AK8" s="53"/>
      <c r="AL8" s="53"/>
      <c r="AM8" s="53"/>
      <c r="AN8" s="53"/>
      <c r="AO8" s="53"/>
      <c r="AP8" s="53"/>
      <c r="AQ8" s="53"/>
      <c r="AR8" s="53"/>
      <c r="AS8" s="53"/>
      <c r="AT8" s="53"/>
      <c r="AU8" s="53"/>
      <c r="AV8" s="53"/>
      <c r="AW8" s="53"/>
      <c r="AX8" s="53"/>
      <c r="AY8" s="43"/>
      <c r="AZ8" s="43"/>
      <c r="BA8" s="43"/>
      <c r="BB8" s="43"/>
      <c r="BC8" s="43"/>
      <c r="BD8" s="43"/>
      <c r="BE8" s="43"/>
      <c r="BF8" s="43"/>
      <c r="BG8" s="43"/>
    </row>
    <row r="9" spans="3:59" s="141" customFormat="1" ht="12.75">
      <c r="C9" s="42"/>
      <c r="D9" s="242"/>
      <c r="E9" s="214"/>
      <c r="F9" s="214"/>
      <c r="G9" s="139"/>
      <c r="H9" s="214"/>
      <c r="I9" s="214"/>
      <c r="J9" s="214"/>
      <c r="K9" s="214"/>
      <c r="L9" s="214"/>
      <c r="M9" s="214"/>
      <c r="N9" s="214"/>
      <c r="O9" s="214"/>
      <c r="P9" s="214"/>
      <c r="Q9" s="214"/>
      <c r="R9" s="214"/>
      <c r="S9" s="214"/>
      <c r="T9" s="214"/>
      <c r="U9" s="214"/>
      <c r="V9" s="214"/>
      <c r="W9" s="139"/>
      <c r="X9" s="43" t="s">
        <v>401</v>
      </c>
      <c r="Y9" s="43" t="s">
        <v>401</v>
      </c>
      <c r="Z9" s="43" t="s">
        <v>401</v>
      </c>
      <c r="AA9" s="43" t="s">
        <v>268</v>
      </c>
      <c r="AB9" s="43" t="s">
        <v>268</v>
      </c>
      <c r="AC9" s="43" t="s">
        <v>268</v>
      </c>
      <c r="AD9" s="43" t="s">
        <v>268</v>
      </c>
      <c r="AE9" s="43" t="s">
        <v>257</v>
      </c>
      <c r="AF9" s="43" t="s">
        <v>257</v>
      </c>
      <c r="AG9" s="43" t="s">
        <v>257</v>
      </c>
      <c r="AH9" s="43" t="s">
        <v>257</v>
      </c>
      <c r="AI9" s="43"/>
      <c r="AJ9" s="43"/>
      <c r="AK9" s="43"/>
      <c r="AL9" s="43"/>
      <c r="AM9" s="43"/>
      <c r="AN9" s="44"/>
      <c r="AO9" s="43"/>
      <c r="AP9" s="43"/>
      <c r="AQ9" s="43"/>
      <c r="AR9" s="43"/>
      <c r="AS9" s="43"/>
      <c r="AT9" s="43"/>
      <c r="AU9" s="43"/>
      <c r="AV9" s="43"/>
      <c r="AW9" s="43"/>
      <c r="AX9" s="43"/>
      <c r="AY9" s="43"/>
      <c r="AZ9" s="43"/>
      <c r="BA9" s="43"/>
      <c r="BB9" s="43"/>
      <c r="BC9" s="43"/>
      <c r="BD9" s="43"/>
      <c r="BE9" s="43"/>
      <c r="BF9" s="43"/>
      <c r="BG9" s="43"/>
    </row>
    <row r="10" spans="2:59" ht="12.75">
      <c r="B10" s="2" t="s">
        <v>1009</v>
      </c>
      <c r="C10" s="1">
        <f>E10*(VLOOKUP(D10,Race,2,FALSE)*(N10*init_bonus+O10+P10*front+Q10*Back+R10+S10*armour+SUM(T10:V10))*(Thrust_base+(I10/J10)/Thrust_div)*POWER(W10,Weapon_power))/(POWER(signature,(L10-M10)))*IF(K10="Y",gravitic,1)*IF(H10="Y",agile,1)/divisor</f>
        <v>403.6179827521398</v>
      </c>
      <c r="D10" s="1" t="s">
        <v>494</v>
      </c>
      <c r="E10" s="52">
        <v>1</v>
      </c>
      <c r="F10" s="52">
        <v>0</v>
      </c>
      <c r="G10" s="1">
        <v>0</v>
      </c>
      <c r="H10" s="52" t="s">
        <v>21</v>
      </c>
      <c r="I10" s="52">
        <v>9</v>
      </c>
      <c r="J10" s="52">
        <v>2</v>
      </c>
      <c r="K10" s="52" t="s">
        <v>21</v>
      </c>
      <c r="L10" s="52">
        <v>7</v>
      </c>
      <c r="M10" s="52">
        <v>8</v>
      </c>
      <c r="N10" s="52">
        <v>6</v>
      </c>
      <c r="O10" s="52">
        <v>50</v>
      </c>
      <c r="P10" s="52">
        <v>48</v>
      </c>
      <c r="Q10" s="52">
        <v>30</v>
      </c>
      <c r="R10" s="52">
        <v>0</v>
      </c>
      <c r="S10" s="52">
        <v>4</v>
      </c>
      <c r="T10" s="52"/>
      <c r="U10" s="52"/>
      <c r="V10" s="52"/>
      <c r="W10" s="1">
        <f>SUM(X10:BD10)*(num_weapons_base+num_weapons_mod*COUNT(X10:BD10))</f>
        <v>290.25261916167665</v>
      </c>
      <c r="X10" s="53">
        <f aca="true" t="shared" si="1" ref="X10:AH10">VLOOKUP(X9,weapon,2,FALSE)</f>
        <v>41.553000000000004</v>
      </c>
      <c r="Y10" s="53">
        <f t="shared" si="1"/>
        <v>41.553000000000004</v>
      </c>
      <c r="Z10" s="53">
        <f t="shared" si="1"/>
        <v>41.553000000000004</v>
      </c>
      <c r="AA10" s="53">
        <f t="shared" si="1"/>
        <v>14.712574850299404</v>
      </c>
      <c r="AB10" s="53">
        <f t="shared" si="1"/>
        <v>14.712574850299404</v>
      </c>
      <c r="AC10" s="53">
        <f t="shared" si="1"/>
        <v>14.712574850299404</v>
      </c>
      <c r="AD10" s="53">
        <f t="shared" si="1"/>
        <v>14.712574850299404</v>
      </c>
      <c r="AE10" s="53">
        <f t="shared" si="1"/>
        <v>5.953499999999999</v>
      </c>
      <c r="AF10" s="53">
        <f t="shared" si="1"/>
        <v>5.953499999999999</v>
      </c>
      <c r="AG10" s="53">
        <f t="shared" si="1"/>
        <v>5.953499999999999</v>
      </c>
      <c r="AH10" s="53">
        <f t="shared" si="1"/>
        <v>5.953499999999999</v>
      </c>
      <c r="AI10" s="53"/>
      <c r="AJ10" s="53"/>
      <c r="AK10" s="53"/>
      <c r="AL10" s="53"/>
      <c r="AM10" s="53"/>
      <c r="AN10" s="53"/>
      <c r="AO10" s="53"/>
      <c r="AP10" s="53"/>
      <c r="AQ10" s="53"/>
      <c r="AR10" s="53"/>
      <c r="AS10" s="53"/>
      <c r="AT10" s="53"/>
      <c r="AU10" s="53"/>
      <c r="AV10" s="53"/>
      <c r="AW10" s="53"/>
      <c r="AX10" s="53"/>
      <c r="AY10" s="43"/>
      <c r="AZ10" s="43"/>
      <c r="BA10" s="43"/>
      <c r="BB10" s="43"/>
      <c r="BC10" s="43"/>
      <c r="BD10" s="43"/>
      <c r="BE10" s="43"/>
      <c r="BF10" s="43"/>
      <c r="BG10" s="43"/>
    </row>
    <row r="11" spans="2:60" ht="12.75">
      <c r="B11" s="2"/>
      <c r="C11" s="42"/>
      <c r="D11" s="42"/>
      <c r="E11" s="5"/>
      <c r="F11" s="5"/>
      <c r="G11" s="7"/>
      <c r="H11" s="5"/>
      <c r="I11" s="5"/>
      <c r="J11" s="5"/>
      <c r="K11" s="5"/>
      <c r="L11" s="5"/>
      <c r="M11" s="5"/>
      <c r="N11" s="5"/>
      <c r="O11" s="5"/>
      <c r="P11" s="5"/>
      <c r="Q11" s="5"/>
      <c r="R11" s="5"/>
      <c r="S11" s="5"/>
      <c r="T11" s="5"/>
      <c r="U11" s="5"/>
      <c r="V11" s="5"/>
      <c r="W11" s="1"/>
      <c r="X11" s="43" t="s">
        <v>396</v>
      </c>
      <c r="Y11" s="43" t="s">
        <v>396</v>
      </c>
      <c r="Z11" s="43" t="s">
        <v>396</v>
      </c>
      <c r="AA11" s="43" t="s">
        <v>396</v>
      </c>
      <c r="AB11" s="43" t="s">
        <v>105</v>
      </c>
      <c r="AC11" s="43" t="s">
        <v>105</v>
      </c>
      <c r="AD11" s="43"/>
      <c r="AE11" s="43"/>
      <c r="AF11" s="43"/>
      <c r="AG11" s="43"/>
      <c r="AH11" s="43"/>
      <c r="AI11" s="43"/>
      <c r="AJ11" s="43"/>
      <c r="AK11" s="43"/>
      <c r="AL11" s="43"/>
      <c r="AM11" s="43"/>
      <c r="AN11" s="44"/>
      <c r="AO11" s="43"/>
      <c r="AP11" s="43"/>
      <c r="AQ11" s="43"/>
      <c r="AR11" s="43"/>
      <c r="AS11" s="43"/>
      <c r="AT11" s="43"/>
      <c r="AU11" s="43"/>
      <c r="AV11" s="43"/>
      <c r="AW11" s="43"/>
      <c r="AX11" s="43"/>
      <c r="AY11" s="43"/>
      <c r="AZ11" s="43"/>
      <c r="BA11" s="43"/>
      <c r="BB11" s="43"/>
      <c r="BC11" s="43"/>
      <c r="BD11" s="43"/>
      <c r="BE11" s="43"/>
      <c r="BF11" s="43"/>
      <c r="BG11" s="43"/>
      <c r="BH11" t="s">
        <v>494</v>
      </c>
    </row>
    <row r="12" spans="2:60" ht="12.75">
      <c r="B12" s="2" t="s">
        <v>496</v>
      </c>
      <c r="C12" s="1">
        <f>E12*(VLOOKUP(D12,Race,2,FALSE)*(N12*init_bonus+O12+P12*front+Q12*Back+R12+S12*armour+SUM(T12:V12))*(Thrust_base+(I12/J12)/Thrust_div)*POWER(W12,Weapon_power))/(POWER(signature,(L12-M12)))*IF(K12="Y",gravitic,1)*IF(H12="Y",agile,1)/divisor</f>
        <v>56.928920679318466</v>
      </c>
      <c r="D12" s="1" t="s">
        <v>494</v>
      </c>
      <c r="E12" s="52">
        <v>1</v>
      </c>
      <c r="F12" s="1">
        <v>6</v>
      </c>
      <c r="G12" s="1">
        <f>F12*C38</f>
        <v>31.654111986487564</v>
      </c>
      <c r="H12" s="52" t="s">
        <v>21</v>
      </c>
      <c r="I12" s="52">
        <v>10</v>
      </c>
      <c r="J12" s="52">
        <v>3</v>
      </c>
      <c r="K12" s="52" t="s">
        <v>21</v>
      </c>
      <c r="L12" s="52">
        <v>7</v>
      </c>
      <c r="M12" s="52">
        <v>4</v>
      </c>
      <c r="N12" s="52">
        <v>6</v>
      </c>
      <c r="O12" s="52">
        <v>45</v>
      </c>
      <c r="P12" s="52">
        <v>40</v>
      </c>
      <c r="Q12" s="52">
        <v>38</v>
      </c>
      <c r="R12" s="52">
        <v>0</v>
      </c>
      <c r="S12" s="52">
        <v>2</v>
      </c>
      <c r="T12" s="52"/>
      <c r="U12" s="52"/>
      <c r="V12" s="52"/>
      <c r="W12" s="1">
        <f>SUM(X12:BD12)*(num_weapons_base+num_weapons_mod*COUNT(X12:BD12))</f>
        <v>73.914</v>
      </c>
      <c r="X12" s="53">
        <f aca="true" t="shared" si="2" ref="X12:AC12">VLOOKUP(X11,weapon,2,FALSE)</f>
        <v>10.023750000000001</v>
      </c>
      <c r="Y12" s="53">
        <f t="shared" si="2"/>
        <v>10.023750000000001</v>
      </c>
      <c r="Z12" s="53">
        <f t="shared" si="2"/>
        <v>10.023750000000001</v>
      </c>
      <c r="AA12" s="53">
        <f t="shared" si="2"/>
        <v>10.023750000000001</v>
      </c>
      <c r="AB12" s="53">
        <f t="shared" si="2"/>
        <v>10.75</v>
      </c>
      <c r="AC12" s="53">
        <f t="shared" si="2"/>
        <v>10.75</v>
      </c>
      <c r="AD12" s="53"/>
      <c r="AE12" s="53"/>
      <c r="AF12" s="53"/>
      <c r="AG12" s="53"/>
      <c r="AH12" s="53"/>
      <c r="AI12" s="53"/>
      <c r="AJ12" s="53"/>
      <c r="AK12" s="53"/>
      <c r="AL12" s="53"/>
      <c r="AM12" s="53"/>
      <c r="AN12" s="53"/>
      <c r="AO12" s="53"/>
      <c r="AP12" s="53"/>
      <c r="AQ12" s="53"/>
      <c r="AR12" s="53"/>
      <c r="AS12" s="53"/>
      <c r="AT12" s="53"/>
      <c r="AU12" s="53"/>
      <c r="AV12" s="53"/>
      <c r="AW12" s="53"/>
      <c r="AX12" s="53"/>
      <c r="AY12" s="43"/>
      <c r="AZ12" s="43"/>
      <c r="BA12" s="43"/>
      <c r="BB12" s="43"/>
      <c r="BC12" s="43"/>
      <c r="BD12" s="43"/>
      <c r="BE12" s="43"/>
      <c r="BF12" s="43"/>
      <c r="BG12" s="43"/>
      <c r="BH12" t="s">
        <v>508</v>
      </c>
    </row>
    <row r="13" spans="2:60" ht="12.75">
      <c r="B13" s="2"/>
      <c r="C13" s="42"/>
      <c r="D13" s="42"/>
      <c r="E13" s="5"/>
      <c r="F13" s="5"/>
      <c r="G13" s="7"/>
      <c r="H13" s="5"/>
      <c r="I13" s="5"/>
      <c r="J13" s="5"/>
      <c r="K13" s="5"/>
      <c r="L13" s="5"/>
      <c r="M13" s="5"/>
      <c r="N13" s="5"/>
      <c r="O13" s="5"/>
      <c r="P13" s="5"/>
      <c r="Q13" s="5"/>
      <c r="R13" s="5"/>
      <c r="S13" s="5"/>
      <c r="T13" s="5"/>
      <c r="U13" s="5"/>
      <c r="V13" s="5"/>
      <c r="W13" s="1"/>
      <c r="X13" s="43" t="s">
        <v>418</v>
      </c>
      <c r="Y13" s="43" t="s">
        <v>418</v>
      </c>
      <c r="Z13" s="43" t="s">
        <v>418</v>
      </c>
      <c r="AA13" s="43" t="s">
        <v>418</v>
      </c>
      <c r="AB13" s="43" t="s">
        <v>325</v>
      </c>
      <c r="AC13" s="43" t="s">
        <v>325</v>
      </c>
      <c r="AD13" s="43" t="s">
        <v>343</v>
      </c>
      <c r="AE13" s="43" t="s">
        <v>343</v>
      </c>
      <c r="AF13" s="43" t="s">
        <v>396</v>
      </c>
      <c r="AG13" s="43" t="s">
        <v>396</v>
      </c>
      <c r="AH13" s="43" t="s">
        <v>396</v>
      </c>
      <c r="AI13" s="43" t="s">
        <v>259</v>
      </c>
      <c r="AJ13" s="43" t="s">
        <v>259</v>
      </c>
      <c r="AK13" s="43" t="s">
        <v>259</v>
      </c>
      <c r="AL13" s="43" t="s">
        <v>259</v>
      </c>
      <c r="AM13" s="43">
        <v>0</v>
      </c>
      <c r="AN13" s="43">
        <v>0</v>
      </c>
      <c r="AO13" s="43">
        <v>0</v>
      </c>
      <c r="AP13" s="43">
        <v>0</v>
      </c>
      <c r="AQ13" s="43">
        <v>0</v>
      </c>
      <c r="AR13" s="43">
        <v>0</v>
      </c>
      <c r="AS13" s="43">
        <v>0</v>
      </c>
      <c r="AT13" s="43">
        <v>0</v>
      </c>
      <c r="AU13" s="43">
        <v>0</v>
      </c>
      <c r="AV13" s="43">
        <v>0</v>
      </c>
      <c r="AW13" s="43">
        <v>0</v>
      </c>
      <c r="AX13" s="43">
        <v>0</v>
      </c>
      <c r="AY13" s="43"/>
      <c r="AZ13" s="43"/>
      <c r="BA13" s="43"/>
      <c r="BB13" s="43"/>
      <c r="BC13" s="43"/>
      <c r="BD13" s="43"/>
      <c r="BE13" s="43"/>
      <c r="BF13" s="43"/>
      <c r="BG13" s="43"/>
      <c r="BH13" t="s">
        <v>522</v>
      </c>
    </row>
    <row r="14" spans="2:60" ht="12.75">
      <c r="B14" s="2" t="s">
        <v>497</v>
      </c>
      <c r="C14" s="1">
        <f>E14*(VLOOKUP(D14,Race,2,FALSE)*(N14*init_bonus+O14+P14*front+Q14*Back+R14+S14*armour+SUM(T14:V14))*(Thrust_base+(I14/J14)/Thrust_div)*POWER(W14,Weapon_power))/(POWER(signature,(L14-M14)))*IF(K14="Y",gravitic,1)*IF(H14="Y",agile,1)/divisor</f>
        <v>502.21199051482546</v>
      </c>
      <c r="D14" s="1" t="s">
        <v>494</v>
      </c>
      <c r="E14" s="52">
        <v>1</v>
      </c>
      <c r="F14" s="52">
        <v>6</v>
      </c>
      <c r="G14" s="1">
        <f>C40*F14</f>
        <v>16.455205621257186</v>
      </c>
      <c r="H14" s="52" t="s">
        <v>21</v>
      </c>
      <c r="I14" s="52">
        <v>7</v>
      </c>
      <c r="J14" s="52">
        <v>3</v>
      </c>
      <c r="K14" s="52" t="s">
        <v>21</v>
      </c>
      <c r="L14" s="52">
        <v>10</v>
      </c>
      <c r="M14" s="52">
        <v>7</v>
      </c>
      <c r="N14" s="52">
        <v>0</v>
      </c>
      <c r="O14" s="52">
        <v>45</v>
      </c>
      <c r="P14" s="52">
        <v>52</v>
      </c>
      <c r="Q14" s="52">
        <v>42</v>
      </c>
      <c r="R14" s="52">
        <v>60</v>
      </c>
      <c r="S14" s="52">
        <v>4.75</v>
      </c>
      <c r="T14" s="52"/>
      <c r="U14" s="52"/>
      <c r="V14" s="52"/>
      <c r="W14" s="1">
        <f>SUM(X14:BD14)*(num_weapons_base+num_weapons_mod*COUNT(X14:BD14))</f>
        <v>400.6094775428571</v>
      </c>
      <c r="X14" s="53">
        <f aca="true" t="shared" si="3" ref="X14:AL14">VLOOKUP(X13,weapon,2,FALSE)</f>
        <v>25.446960000000004</v>
      </c>
      <c r="Y14" s="53">
        <f t="shared" si="3"/>
        <v>25.446960000000004</v>
      </c>
      <c r="Z14" s="53">
        <f t="shared" si="3"/>
        <v>25.446960000000004</v>
      </c>
      <c r="AA14" s="53">
        <f t="shared" si="3"/>
        <v>25.446960000000004</v>
      </c>
      <c r="AB14" s="53">
        <f t="shared" si="3"/>
        <v>13.950000000000001</v>
      </c>
      <c r="AC14" s="53">
        <f t="shared" si="3"/>
        <v>13.950000000000001</v>
      </c>
      <c r="AD14" s="53">
        <f t="shared" si="3"/>
        <v>39.921428571428564</v>
      </c>
      <c r="AE14" s="53">
        <f t="shared" si="3"/>
        <v>39.921428571428564</v>
      </c>
      <c r="AF14" s="53">
        <f t="shared" si="3"/>
        <v>10.023750000000001</v>
      </c>
      <c r="AG14" s="53">
        <f t="shared" si="3"/>
        <v>10.023750000000001</v>
      </c>
      <c r="AH14" s="53">
        <f t="shared" si="3"/>
        <v>10.023750000000001</v>
      </c>
      <c r="AI14" s="53">
        <f t="shared" si="3"/>
        <v>4.2997499999999995</v>
      </c>
      <c r="AJ14" s="53">
        <f t="shared" si="3"/>
        <v>4.2997499999999995</v>
      </c>
      <c r="AK14" s="53">
        <f t="shared" si="3"/>
        <v>4.2997499999999995</v>
      </c>
      <c r="AL14" s="53">
        <f t="shared" si="3"/>
        <v>4.2997499999999995</v>
      </c>
      <c r="AM14" s="53"/>
      <c r="AN14" s="53"/>
      <c r="AO14" s="53"/>
      <c r="AP14" s="53"/>
      <c r="AQ14" s="53"/>
      <c r="AR14" s="53"/>
      <c r="AS14" s="53"/>
      <c r="AT14" s="53"/>
      <c r="AU14" s="53"/>
      <c r="AV14" s="53"/>
      <c r="AW14" s="53"/>
      <c r="AX14" s="53"/>
      <c r="AY14" s="43"/>
      <c r="AZ14" s="43"/>
      <c r="BA14" s="43"/>
      <c r="BB14" s="43"/>
      <c r="BC14" s="43"/>
      <c r="BD14" s="43"/>
      <c r="BE14" s="43"/>
      <c r="BF14" s="43"/>
      <c r="BG14" s="43"/>
      <c r="BH14" t="s">
        <v>537</v>
      </c>
    </row>
    <row r="15" spans="2:60" ht="12.75">
      <c r="B15" s="2"/>
      <c r="C15" s="42"/>
      <c r="D15" s="42"/>
      <c r="E15" s="5"/>
      <c r="F15" s="5"/>
      <c r="G15" s="7"/>
      <c r="H15" s="5"/>
      <c r="I15" s="5"/>
      <c r="J15" s="5"/>
      <c r="K15" s="5"/>
      <c r="L15" s="5"/>
      <c r="M15" s="5"/>
      <c r="N15" s="5"/>
      <c r="O15" s="5"/>
      <c r="P15" s="5"/>
      <c r="Q15" s="5"/>
      <c r="R15" s="5"/>
      <c r="S15" s="5"/>
      <c r="T15" s="5"/>
      <c r="U15" s="5"/>
      <c r="V15" s="5"/>
      <c r="W15" s="1"/>
      <c r="X15" s="54" t="s">
        <v>335</v>
      </c>
      <c r="Y15" s="54" t="s">
        <v>335</v>
      </c>
      <c r="Z15" s="54" t="s">
        <v>335</v>
      </c>
      <c r="AA15" s="54" t="s">
        <v>335</v>
      </c>
      <c r="AB15" s="54" t="s">
        <v>337</v>
      </c>
      <c r="AC15" s="54" t="s">
        <v>337</v>
      </c>
      <c r="AD15" s="54" t="s">
        <v>337</v>
      </c>
      <c r="AE15" s="54" t="s">
        <v>337</v>
      </c>
      <c r="AF15" s="54" t="s">
        <v>337</v>
      </c>
      <c r="AG15" s="54" t="s">
        <v>337</v>
      </c>
      <c r="AH15" s="54" t="s">
        <v>337</v>
      </c>
      <c r="AI15" s="54" t="s">
        <v>337</v>
      </c>
      <c r="AJ15" s="54" t="s">
        <v>337</v>
      </c>
      <c r="AK15" s="54" t="s">
        <v>337</v>
      </c>
      <c r="AL15" s="54" t="s">
        <v>337</v>
      </c>
      <c r="AM15" s="54" t="s">
        <v>337</v>
      </c>
      <c r="AN15" s="54" t="s">
        <v>337</v>
      </c>
      <c r="AO15" s="54" t="s">
        <v>337</v>
      </c>
      <c r="AP15" s="54" t="s">
        <v>337</v>
      </c>
      <c r="AQ15" s="54" t="s">
        <v>337</v>
      </c>
      <c r="AR15" s="43" t="s">
        <v>259</v>
      </c>
      <c r="AS15" s="43" t="s">
        <v>259</v>
      </c>
      <c r="AT15" s="43" t="s">
        <v>259</v>
      </c>
      <c r="AU15" s="43" t="s">
        <v>259</v>
      </c>
      <c r="AV15" s="43"/>
      <c r="AW15" s="43"/>
      <c r="AX15" s="43"/>
      <c r="AY15" s="43"/>
      <c r="AZ15" s="43"/>
      <c r="BA15" s="43"/>
      <c r="BB15" s="43"/>
      <c r="BC15" s="43"/>
      <c r="BD15" s="43"/>
      <c r="BE15" s="43"/>
      <c r="BF15" s="43"/>
      <c r="BG15" s="43"/>
      <c r="BH15" t="s">
        <v>543</v>
      </c>
    </row>
    <row r="16" spans="2:60" ht="12.75">
      <c r="B16" s="2" t="s">
        <v>498</v>
      </c>
      <c r="C16" s="1">
        <f>E16*(VLOOKUP(D16,Race,2,FALSE)*(N16*init_bonus+O16+P16*front+Q16*Back+R16+S16*armour+SUM(T16:V16))*(Thrust_base+(I16/J16)/Thrust_div)*POWER(W16,Weapon_power))/(POWER(signature,(L16-M16)))*IF(K16="Y",gravitic,1)*IF(H16="Y",agile,1)/divisor</f>
        <v>34.90582437506727</v>
      </c>
      <c r="D16" s="1" t="s">
        <v>494</v>
      </c>
      <c r="E16" s="52">
        <v>1</v>
      </c>
      <c r="F16" s="52">
        <v>12</v>
      </c>
      <c r="G16" s="1">
        <f>C40*F16</f>
        <v>32.91041124251437</v>
      </c>
      <c r="H16" s="52" t="s">
        <v>21</v>
      </c>
      <c r="I16" s="52">
        <v>8</v>
      </c>
      <c r="J16" s="52">
        <v>3</v>
      </c>
      <c r="K16" s="52" t="s">
        <v>21</v>
      </c>
      <c r="L16" s="52">
        <v>14</v>
      </c>
      <c r="M16" s="52">
        <v>8</v>
      </c>
      <c r="N16" s="52">
        <v>0</v>
      </c>
      <c r="O16" s="52">
        <v>55</v>
      </c>
      <c r="P16" s="52">
        <v>60</v>
      </c>
      <c r="Q16" s="52">
        <v>50</v>
      </c>
      <c r="R16" s="52">
        <v>60</v>
      </c>
      <c r="S16" s="52">
        <v>6</v>
      </c>
      <c r="T16" s="52"/>
      <c r="U16" s="52"/>
      <c r="V16" s="52"/>
      <c r="W16" s="1">
        <f>SUM(X16:BD16)*(num_weapons_base+num_weapons_mod*COUNT(X16:BD16))</f>
        <v>33.022079999999995</v>
      </c>
      <c r="X16" s="53">
        <f aca="true" t="shared" si="4" ref="X16:AU16">VLOOKUP(X15,weapon,2,FALSE)</f>
        <v>0</v>
      </c>
      <c r="Y16" s="53">
        <f t="shared" si="4"/>
        <v>0</v>
      </c>
      <c r="Z16" s="53">
        <f t="shared" si="4"/>
        <v>0</v>
      </c>
      <c r="AA16" s="53">
        <f t="shared" si="4"/>
        <v>0</v>
      </c>
      <c r="AB16" s="53">
        <f t="shared" si="4"/>
        <v>0</v>
      </c>
      <c r="AC16" s="53">
        <f t="shared" si="4"/>
        <v>0</v>
      </c>
      <c r="AD16" s="53">
        <f t="shared" si="4"/>
        <v>0</v>
      </c>
      <c r="AE16" s="53">
        <f t="shared" si="4"/>
        <v>0</v>
      </c>
      <c r="AF16" s="53">
        <f t="shared" si="4"/>
        <v>0</v>
      </c>
      <c r="AG16" s="53">
        <f t="shared" si="4"/>
        <v>0</v>
      </c>
      <c r="AH16" s="53">
        <f t="shared" si="4"/>
        <v>0</v>
      </c>
      <c r="AI16" s="53">
        <f t="shared" si="4"/>
        <v>0</v>
      </c>
      <c r="AJ16" s="53">
        <f t="shared" si="4"/>
        <v>0</v>
      </c>
      <c r="AK16" s="53">
        <f t="shared" si="4"/>
        <v>0</v>
      </c>
      <c r="AL16" s="53">
        <f t="shared" si="4"/>
        <v>0</v>
      </c>
      <c r="AM16" s="53">
        <f t="shared" si="4"/>
        <v>0</v>
      </c>
      <c r="AN16" s="53">
        <f t="shared" si="4"/>
        <v>0</v>
      </c>
      <c r="AO16" s="53">
        <f t="shared" si="4"/>
        <v>0</v>
      </c>
      <c r="AP16" s="53">
        <f t="shared" si="4"/>
        <v>0</v>
      </c>
      <c r="AQ16" s="53">
        <f t="shared" si="4"/>
        <v>0</v>
      </c>
      <c r="AR16" s="53">
        <f t="shared" si="4"/>
        <v>4.2997499999999995</v>
      </c>
      <c r="AS16" s="53">
        <f t="shared" si="4"/>
        <v>4.2997499999999995</v>
      </c>
      <c r="AT16" s="53">
        <f t="shared" si="4"/>
        <v>4.2997499999999995</v>
      </c>
      <c r="AU16" s="53">
        <f t="shared" si="4"/>
        <v>4.2997499999999995</v>
      </c>
      <c r="AV16" s="53"/>
      <c r="AW16" s="53"/>
      <c r="AX16" s="53"/>
      <c r="AY16" s="43"/>
      <c r="AZ16" s="43"/>
      <c r="BA16" s="43"/>
      <c r="BB16" s="43"/>
      <c r="BC16" s="43"/>
      <c r="BD16" s="43"/>
      <c r="BE16" s="43"/>
      <c r="BF16" s="43"/>
      <c r="BG16" s="43"/>
      <c r="BH16" t="s">
        <v>555</v>
      </c>
    </row>
    <row r="17" spans="2:60" ht="12.75">
      <c r="B17" s="2"/>
      <c r="C17" s="42"/>
      <c r="D17" s="42"/>
      <c r="E17" s="5"/>
      <c r="F17" s="5"/>
      <c r="G17" s="7"/>
      <c r="H17" s="5"/>
      <c r="I17" s="5"/>
      <c r="J17" s="5"/>
      <c r="K17" s="5"/>
      <c r="L17" s="5"/>
      <c r="M17" s="5"/>
      <c r="N17" s="5"/>
      <c r="O17" s="5"/>
      <c r="P17" s="5"/>
      <c r="Q17" s="5"/>
      <c r="R17" s="5"/>
      <c r="S17" s="5"/>
      <c r="T17" s="5"/>
      <c r="U17" s="5"/>
      <c r="V17" s="5"/>
      <c r="W17" s="1"/>
      <c r="X17" s="43" t="s">
        <v>343</v>
      </c>
      <c r="Y17" s="43" t="s">
        <v>343</v>
      </c>
      <c r="Z17" s="43" t="s">
        <v>343</v>
      </c>
      <c r="AA17" s="43" t="s">
        <v>343</v>
      </c>
      <c r="AB17" s="43" t="s">
        <v>268</v>
      </c>
      <c r="AC17" s="43" t="s">
        <v>268</v>
      </c>
      <c r="AD17" s="43" t="s">
        <v>97</v>
      </c>
      <c r="AE17" s="43" t="s">
        <v>97</v>
      </c>
      <c r="AF17" s="43" t="s">
        <v>259</v>
      </c>
      <c r="AG17" s="43" t="s">
        <v>259</v>
      </c>
      <c r="AH17" s="43"/>
      <c r="AI17" s="43"/>
      <c r="AJ17" s="43"/>
      <c r="AK17" s="43"/>
      <c r="AL17" s="43"/>
      <c r="AM17" s="43"/>
      <c r="AN17" s="44"/>
      <c r="AO17" s="43"/>
      <c r="AP17" s="43"/>
      <c r="AQ17" s="43"/>
      <c r="AR17" s="43"/>
      <c r="AS17" s="43"/>
      <c r="AT17" s="43"/>
      <c r="AU17" s="43"/>
      <c r="AV17" s="43"/>
      <c r="AW17" s="43"/>
      <c r="AX17" s="43"/>
      <c r="AY17" s="43"/>
      <c r="AZ17" s="43"/>
      <c r="BA17" s="43"/>
      <c r="BB17" s="43"/>
      <c r="BC17" s="43"/>
      <c r="BD17" s="43"/>
      <c r="BE17" s="43"/>
      <c r="BF17" s="43"/>
      <c r="BG17" s="43"/>
      <c r="BH17" t="s">
        <v>567</v>
      </c>
    </row>
    <row r="18" spans="2:60" ht="12.75">
      <c r="B18" s="2" t="s">
        <v>499</v>
      </c>
      <c r="C18" s="1">
        <f>E18*(VLOOKUP(D18,Race,2,FALSE)*(N18*init_bonus+O18+P18*front+Q18*Back+R18+S18*armour+SUM(T18:V18))*(Thrust_base+(I18/J18)/Thrust_div)*POWER(W18,Weapon_power))/(POWER(signature,(L18-M18)))*IF(K18="Y",gravitic,1)*IF(H18="Y",agile,1)/divisor</f>
        <v>411.68561095985467</v>
      </c>
      <c r="D18" s="1" t="s">
        <v>494</v>
      </c>
      <c r="E18" s="52">
        <v>1</v>
      </c>
      <c r="F18" s="52">
        <v>0</v>
      </c>
      <c r="G18" s="1">
        <v>0</v>
      </c>
      <c r="H18" s="52" t="s">
        <v>21</v>
      </c>
      <c r="I18" s="52">
        <v>8</v>
      </c>
      <c r="J18" s="52">
        <v>3</v>
      </c>
      <c r="K18" s="52" t="s">
        <v>21</v>
      </c>
      <c r="L18" s="52">
        <v>6</v>
      </c>
      <c r="M18" s="52">
        <v>6</v>
      </c>
      <c r="N18" s="52">
        <v>6</v>
      </c>
      <c r="O18" s="52">
        <v>50</v>
      </c>
      <c r="P18" s="52">
        <v>48</v>
      </c>
      <c r="Q18" s="52">
        <v>42</v>
      </c>
      <c r="R18" s="52">
        <v>0</v>
      </c>
      <c r="S18" s="52">
        <v>3</v>
      </c>
      <c r="T18" s="52"/>
      <c r="U18" s="52"/>
      <c r="V18" s="52"/>
      <c r="W18" s="1">
        <f>SUM(X18:BD18)*(num_weapons_base+num_weapons_mod*COUNT(X18:BD18))</f>
        <v>355.9260950213858</v>
      </c>
      <c r="X18" s="53">
        <f aca="true" t="shared" si="5" ref="X18:AG18">VLOOKUP(X17,weapon,2,FALSE)</f>
        <v>39.921428571428564</v>
      </c>
      <c r="Y18" s="53">
        <f t="shared" si="5"/>
        <v>39.921428571428564</v>
      </c>
      <c r="Z18" s="53">
        <f t="shared" si="5"/>
        <v>39.921428571428564</v>
      </c>
      <c r="AA18" s="53">
        <f t="shared" si="5"/>
        <v>39.921428571428564</v>
      </c>
      <c r="AB18" s="53">
        <f t="shared" si="5"/>
        <v>14.712574850299404</v>
      </c>
      <c r="AC18" s="53">
        <f t="shared" si="5"/>
        <v>14.712574850299404</v>
      </c>
      <c r="AD18" s="53">
        <f t="shared" si="5"/>
        <v>32</v>
      </c>
      <c r="AE18" s="53">
        <f t="shared" si="5"/>
        <v>32</v>
      </c>
      <c r="AF18" s="53">
        <f t="shared" si="5"/>
        <v>4.2997499999999995</v>
      </c>
      <c r="AG18" s="53">
        <f t="shared" si="5"/>
        <v>4.2997499999999995</v>
      </c>
      <c r="AH18" s="53"/>
      <c r="AI18" s="53"/>
      <c r="AJ18" s="53"/>
      <c r="AK18" s="53"/>
      <c r="AL18" s="53"/>
      <c r="AM18" s="53"/>
      <c r="AN18" s="53"/>
      <c r="AO18" s="53"/>
      <c r="AP18" s="53"/>
      <c r="AQ18" s="53"/>
      <c r="AR18" s="53"/>
      <c r="AS18" s="53"/>
      <c r="AT18" s="53"/>
      <c r="AU18" s="53"/>
      <c r="AV18" s="53"/>
      <c r="AW18" s="53"/>
      <c r="AX18" s="53"/>
      <c r="AY18" s="43"/>
      <c r="AZ18" s="43"/>
      <c r="BA18" s="43"/>
      <c r="BB18" s="43"/>
      <c r="BC18" s="43"/>
      <c r="BD18" s="43"/>
      <c r="BE18" s="43"/>
      <c r="BF18" s="43"/>
      <c r="BG18" s="43"/>
      <c r="BH18" t="s">
        <v>571</v>
      </c>
    </row>
    <row r="19" spans="2:60" ht="12.75">
      <c r="B19" s="2"/>
      <c r="C19" s="42"/>
      <c r="D19" s="42"/>
      <c r="E19" s="5"/>
      <c r="F19" s="5"/>
      <c r="G19" s="7"/>
      <c r="H19" s="5"/>
      <c r="I19" s="5"/>
      <c r="J19" s="5"/>
      <c r="K19" s="5"/>
      <c r="L19" s="5"/>
      <c r="M19" s="5"/>
      <c r="N19" s="5"/>
      <c r="O19" s="5"/>
      <c r="P19" s="5"/>
      <c r="Q19" s="5"/>
      <c r="R19" s="5"/>
      <c r="S19" s="5"/>
      <c r="T19" s="5"/>
      <c r="U19" s="5"/>
      <c r="V19" s="5"/>
      <c r="W19" s="1"/>
      <c r="X19" s="43" t="s">
        <v>338</v>
      </c>
      <c r="Y19" s="43" t="s">
        <v>338</v>
      </c>
      <c r="Z19" s="43" t="s">
        <v>347</v>
      </c>
      <c r="AA19" s="43" t="s">
        <v>347</v>
      </c>
      <c r="AB19" s="43" t="s">
        <v>394</v>
      </c>
      <c r="AC19" s="43" t="s">
        <v>394</v>
      </c>
      <c r="AD19" s="43" t="s">
        <v>394</v>
      </c>
      <c r="AE19" s="43" t="s">
        <v>394</v>
      </c>
      <c r="AF19" s="43" t="s">
        <v>394</v>
      </c>
      <c r="AG19" s="43" t="s">
        <v>394</v>
      </c>
      <c r="AH19" s="43" t="s">
        <v>394</v>
      </c>
      <c r="AI19" s="43" t="s">
        <v>394</v>
      </c>
      <c r="AJ19" s="43" t="s">
        <v>394</v>
      </c>
      <c r="AK19" s="43" t="s">
        <v>394</v>
      </c>
      <c r="AL19" s="43" t="s">
        <v>394</v>
      </c>
      <c r="AM19" s="43" t="s">
        <v>394</v>
      </c>
      <c r="AN19" s="43" t="s">
        <v>255</v>
      </c>
      <c r="AO19" s="43" t="s">
        <v>255</v>
      </c>
      <c r="AP19" s="43" t="s">
        <v>255</v>
      </c>
      <c r="AQ19" s="43" t="s">
        <v>255</v>
      </c>
      <c r="AR19" s="43" t="s">
        <v>255</v>
      </c>
      <c r="AS19" s="43" t="s">
        <v>255</v>
      </c>
      <c r="AT19" s="43"/>
      <c r="AU19" s="43"/>
      <c r="AV19" s="43"/>
      <c r="AW19" s="43"/>
      <c r="AX19" s="43"/>
      <c r="AY19" s="43"/>
      <c r="AZ19" s="43"/>
      <c r="BA19" s="43"/>
      <c r="BB19" s="43"/>
      <c r="BC19" s="43"/>
      <c r="BD19" s="43"/>
      <c r="BE19" s="43"/>
      <c r="BF19" s="43"/>
      <c r="BG19" s="43"/>
      <c r="BH19" t="s">
        <v>19</v>
      </c>
    </row>
    <row r="20" spans="2:60" ht="12.75">
      <c r="B20" s="2" t="s">
        <v>624</v>
      </c>
      <c r="C20" s="1">
        <f>E20*(VLOOKUP(D20,Race,2,FALSE)*(N20*init_bonus+O20+P20*front+Q20*Back+R20+S20*armour+SUM(T20:V20))*(Thrust_base+(I20/J20)/Thrust_div)*POWER(W20,Weapon_power))/(POWER(signature,(L20-M20)))*IF(K20="Y",gravitic,1)*IF(H20="Y",agile,1)/divisor</f>
        <v>618.8369954545333</v>
      </c>
      <c r="D20" s="1" t="s">
        <v>494</v>
      </c>
      <c r="E20" s="52">
        <v>1</v>
      </c>
      <c r="F20" s="52"/>
      <c r="G20" s="1">
        <v>0</v>
      </c>
      <c r="H20" s="52" t="s">
        <v>21</v>
      </c>
      <c r="I20" s="52">
        <v>8</v>
      </c>
      <c r="J20" s="52">
        <v>3</v>
      </c>
      <c r="K20" s="52" t="s">
        <v>21</v>
      </c>
      <c r="L20" s="52">
        <v>13</v>
      </c>
      <c r="M20" s="52">
        <v>8</v>
      </c>
      <c r="N20" s="52">
        <v>0</v>
      </c>
      <c r="O20" s="52">
        <v>60</v>
      </c>
      <c r="P20" s="52">
        <v>60</v>
      </c>
      <c r="Q20" s="52">
        <v>50</v>
      </c>
      <c r="R20" s="52">
        <v>70</v>
      </c>
      <c r="S20" s="52">
        <v>4.75</v>
      </c>
      <c r="T20" s="52"/>
      <c r="U20" s="52"/>
      <c r="V20" s="52"/>
      <c r="W20" s="1">
        <f>SUM(X20:BD20)*(num_weapons_base+num_weapons_mod*COUNT(X20:BD20))</f>
        <v>473.80994040718565</v>
      </c>
      <c r="X20" s="53">
        <f aca="true" t="shared" si="6" ref="X20:AS20">VLOOKUP(X19,weapon,2,FALSE)</f>
        <v>0</v>
      </c>
      <c r="Y20" s="53">
        <f t="shared" si="6"/>
        <v>0</v>
      </c>
      <c r="Z20" s="53">
        <f t="shared" si="6"/>
        <v>42.9494011976048</v>
      </c>
      <c r="AA20" s="53">
        <f t="shared" si="6"/>
        <v>42.9494011976048</v>
      </c>
      <c r="AB20" s="53">
        <f t="shared" si="6"/>
        <v>11.026125000000002</v>
      </c>
      <c r="AC20" s="53">
        <f t="shared" si="6"/>
        <v>11.026125000000002</v>
      </c>
      <c r="AD20" s="53">
        <f t="shared" si="6"/>
        <v>11.026125000000002</v>
      </c>
      <c r="AE20" s="53">
        <f t="shared" si="6"/>
        <v>11.026125000000002</v>
      </c>
      <c r="AF20" s="53">
        <f t="shared" si="6"/>
        <v>11.026125000000002</v>
      </c>
      <c r="AG20" s="53">
        <f t="shared" si="6"/>
        <v>11.026125000000002</v>
      </c>
      <c r="AH20" s="53">
        <f t="shared" si="6"/>
        <v>11.026125000000002</v>
      </c>
      <c r="AI20" s="53">
        <f t="shared" si="6"/>
        <v>11.026125000000002</v>
      </c>
      <c r="AJ20" s="53">
        <f t="shared" si="6"/>
        <v>11.026125000000002</v>
      </c>
      <c r="AK20" s="53">
        <f t="shared" si="6"/>
        <v>11.026125000000002</v>
      </c>
      <c r="AL20" s="53">
        <f t="shared" si="6"/>
        <v>11.026125000000002</v>
      </c>
      <c r="AM20" s="53">
        <f t="shared" si="6"/>
        <v>11.026125000000002</v>
      </c>
      <c r="AN20" s="53">
        <f t="shared" si="6"/>
        <v>6.548850000000001</v>
      </c>
      <c r="AO20" s="53">
        <f t="shared" si="6"/>
        <v>6.548850000000001</v>
      </c>
      <c r="AP20" s="53">
        <f t="shared" si="6"/>
        <v>6.548850000000001</v>
      </c>
      <c r="AQ20" s="53">
        <f t="shared" si="6"/>
        <v>6.548850000000001</v>
      </c>
      <c r="AR20" s="53">
        <f t="shared" si="6"/>
        <v>6.548850000000001</v>
      </c>
      <c r="AS20" s="53">
        <f t="shared" si="6"/>
        <v>6.548850000000001</v>
      </c>
      <c r="AT20" s="53"/>
      <c r="AU20" s="53"/>
      <c r="AV20" s="53"/>
      <c r="AW20" s="53"/>
      <c r="AX20" s="53"/>
      <c r="AY20" s="43"/>
      <c r="AZ20" s="43"/>
      <c r="BA20" s="43"/>
      <c r="BB20" s="43"/>
      <c r="BC20" s="43"/>
      <c r="BD20" s="43"/>
      <c r="BE20" s="43"/>
      <c r="BF20" s="43"/>
      <c r="BG20" s="43"/>
      <c r="BH20" t="s">
        <v>579</v>
      </c>
    </row>
    <row r="21" spans="2:59" ht="12.75">
      <c r="B21" s="2"/>
      <c r="C21" s="42"/>
      <c r="D21" s="42"/>
      <c r="E21" s="5"/>
      <c r="F21" s="5"/>
      <c r="G21" s="7"/>
      <c r="H21" s="5"/>
      <c r="I21" s="5"/>
      <c r="J21" s="5"/>
      <c r="K21" s="5"/>
      <c r="L21" s="5"/>
      <c r="M21" s="5"/>
      <c r="N21" s="5"/>
      <c r="O21" s="5"/>
      <c r="S21" s="5"/>
      <c r="T21" s="5" t="s">
        <v>500</v>
      </c>
      <c r="U21" s="5" t="s">
        <v>501</v>
      </c>
      <c r="W21" s="1"/>
      <c r="X21" s="43" t="s">
        <v>27</v>
      </c>
      <c r="Y21" s="43" t="s">
        <v>27</v>
      </c>
      <c r="Z21" s="43" t="s">
        <v>41</v>
      </c>
      <c r="AA21" s="43" t="s">
        <v>41</v>
      </c>
      <c r="AB21" s="43" t="s">
        <v>41</v>
      </c>
      <c r="AC21" s="43" t="s">
        <v>41</v>
      </c>
      <c r="AD21" s="43" t="s">
        <v>32</v>
      </c>
      <c r="AE21" s="43" t="s">
        <v>32</v>
      </c>
      <c r="AF21" s="43" t="s">
        <v>32</v>
      </c>
      <c r="AG21" s="43" t="s">
        <v>32</v>
      </c>
      <c r="AH21" s="43" t="s">
        <v>32</v>
      </c>
      <c r="AI21" s="43" t="s">
        <v>32</v>
      </c>
      <c r="AJ21" s="43" t="s">
        <v>32</v>
      </c>
      <c r="AK21" s="43" t="s">
        <v>32</v>
      </c>
      <c r="AL21" s="43" t="s">
        <v>32</v>
      </c>
      <c r="AM21" s="43" t="s">
        <v>32</v>
      </c>
      <c r="AN21" s="43" t="s">
        <v>32</v>
      </c>
      <c r="AO21" s="43" t="s">
        <v>32</v>
      </c>
      <c r="AP21" s="43" t="s">
        <v>255</v>
      </c>
      <c r="AQ21" s="43" t="s">
        <v>255</v>
      </c>
      <c r="AR21" s="43" t="s">
        <v>255</v>
      </c>
      <c r="AS21" s="43" t="s">
        <v>255</v>
      </c>
      <c r="AT21" s="43" t="s">
        <v>255</v>
      </c>
      <c r="AU21" s="43" t="s">
        <v>255</v>
      </c>
      <c r="AV21" s="43"/>
      <c r="AW21" s="43"/>
      <c r="AX21" s="43"/>
      <c r="AY21" s="43"/>
      <c r="AZ21" s="43"/>
      <c r="BA21" s="43"/>
      <c r="BB21" s="43"/>
      <c r="BC21" s="43"/>
      <c r="BD21" s="43"/>
      <c r="BE21" s="43"/>
      <c r="BF21" s="43"/>
      <c r="BG21" s="43"/>
    </row>
    <row r="22" spans="2:59" ht="12.75">
      <c r="B22" s="2" t="s">
        <v>982</v>
      </c>
      <c r="C22" s="1">
        <f>E22*(VLOOKUP(D22,Race,2,FALSE)*(N22*init_bonus+O22+P22*front+Q22*Back+R22+S22*armour+SUM(T22:V22))*(Thrust_base+(I22/J22)/Thrust_div)*POWER(W22,Weapon_power))/(POWER(signature,(L22-M22)))*IF(K22="Y",gravitic,1)*IF(H22="Y",agile,1)/divisor</f>
        <v>2377.8564411148695</v>
      </c>
      <c r="D22" s="1" t="s">
        <v>494</v>
      </c>
      <c r="E22" s="52">
        <v>1</v>
      </c>
      <c r="F22" s="52"/>
      <c r="G22" s="1">
        <f>F22*C36</f>
        <v>0</v>
      </c>
      <c r="H22" s="52" t="s">
        <v>21</v>
      </c>
      <c r="I22" s="52">
        <v>8</v>
      </c>
      <c r="J22" s="52">
        <v>3</v>
      </c>
      <c r="K22" s="52" t="s">
        <v>21</v>
      </c>
      <c r="L22" s="52">
        <v>12</v>
      </c>
      <c r="M22" s="52">
        <v>8</v>
      </c>
      <c r="N22" s="52">
        <v>0</v>
      </c>
      <c r="O22" s="52">
        <v>75</v>
      </c>
      <c r="P22" s="52">
        <v>60</v>
      </c>
      <c r="Q22" s="52">
        <v>50</v>
      </c>
      <c r="R22" s="52">
        <v>70</v>
      </c>
      <c r="S22" s="52">
        <v>5.25</v>
      </c>
      <c r="T22" s="52">
        <v>35</v>
      </c>
      <c r="U22" s="52">
        <v>20</v>
      </c>
      <c r="V22" s="52"/>
      <c r="W22" s="1">
        <f>SUM(X22:BD22)*(num_weapons_base+num_weapons_mod*COUNT(X22:BD22))</f>
        <v>1229.168935473054</v>
      </c>
      <c r="X22" s="53">
        <f aca="true" t="shared" si="7" ref="X22:AU22">VLOOKUP(X21,weapon,2,FALSE)</f>
        <v>54.34</v>
      </c>
      <c r="Y22" s="53">
        <f t="shared" si="7"/>
        <v>54.34</v>
      </c>
      <c r="Z22" s="53">
        <f t="shared" si="7"/>
        <v>59.34826347305389</v>
      </c>
      <c r="AA22" s="53">
        <f t="shared" si="7"/>
        <v>59.34826347305389</v>
      </c>
      <c r="AB22" s="53">
        <f t="shared" si="7"/>
        <v>59.34826347305389</v>
      </c>
      <c r="AC22" s="53">
        <f t="shared" si="7"/>
        <v>59.34826347305389</v>
      </c>
      <c r="AD22" s="53">
        <f t="shared" si="7"/>
        <v>21.235500000000005</v>
      </c>
      <c r="AE22" s="53">
        <f t="shared" si="7"/>
        <v>21.235500000000005</v>
      </c>
      <c r="AF22" s="53">
        <f t="shared" si="7"/>
        <v>21.235500000000005</v>
      </c>
      <c r="AG22" s="53">
        <f t="shared" si="7"/>
        <v>21.235500000000005</v>
      </c>
      <c r="AH22" s="53">
        <f t="shared" si="7"/>
        <v>21.235500000000005</v>
      </c>
      <c r="AI22" s="53">
        <f t="shared" si="7"/>
        <v>21.235500000000005</v>
      </c>
      <c r="AJ22" s="53">
        <f t="shared" si="7"/>
        <v>21.235500000000005</v>
      </c>
      <c r="AK22" s="53">
        <f t="shared" si="7"/>
        <v>21.235500000000005</v>
      </c>
      <c r="AL22" s="53">
        <f t="shared" si="7"/>
        <v>21.235500000000005</v>
      </c>
      <c r="AM22" s="53">
        <f t="shared" si="7"/>
        <v>21.235500000000005</v>
      </c>
      <c r="AN22" s="53">
        <f t="shared" si="7"/>
        <v>21.235500000000005</v>
      </c>
      <c r="AO22" s="53">
        <f t="shared" si="7"/>
        <v>21.235500000000005</v>
      </c>
      <c r="AP22" s="53">
        <f t="shared" si="7"/>
        <v>6.548850000000001</v>
      </c>
      <c r="AQ22" s="53">
        <f t="shared" si="7"/>
        <v>6.548850000000001</v>
      </c>
      <c r="AR22" s="53">
        <f t="shared" si="7"/>
        <v>6.548850000000001</v>
      </c>
      <c r="AS22" s="53">
        <f t="shared" si="7"/>
        <v>6.548850000000001</v>
      </c>
      <c r="AT22" s="53">
        <f t="shared" si="7"/>
        <v>6.548850000000001</v>
      </c>
      <c r="AU22" s="53">
        <f t="shared" si="7"/>
        <v>6.548850000000001</v>
      </c>
      <c r="AV22" s="53"/>
      <c r="AW22" s="53"/>
      <c r="AX22" s="53"/>
      <c r="AY22" s="43"/>
      <c r="AZ22" s="43"/>
      <c r="BA22" s="43"/>
      <c r="BB22" s="43"/>
      <c r="BC22" s="43"/>
      <c r="BD22" s="43"/>
      <c r="BE22" s="43"/>
      <c r="BF22" s="43"/>
      <c r="BG22" s="43"/>
    </row>
    <row r="23" spans="3:59" ht="12.75">
      <c r="C23" s="42"/>
      <c r="D23" s="42"/>
      <c r="E23" s="5"/>
      <c r="F23" s="5"/>
      <c r="G23" s="7"/>
      <c r="H23" s="5"/>
      <c r="I23" s="5"/>
      <c r="J23" s="5"/>
      <c r="K23" s="5"/>
      <c r="L23" s="5"/>
      <c r="M23" s="5"/>
      <c r="N23" s="5"/>
      <c r="O23" s="5"/>
      <c r="P23" s="5"/>
      <c r="Q23" s="5"/>
      <c r="R23" s="5"/>
      <c r="S23" s="5"/>
      <c r="T23" s="5"/>
      <c r="U23" s="5"/>
      <c r="V23" s="5"/>
      <c r="W23" s="1"/>
      <c r="X23" s="54" t="s">
        <v>97</v>
      </c>
      <c r="Y23" s="54" t="s">
        <v>97</v>
      </c>
      <c r="Z23" s="54" t="s">
        <v>97</v>
      </c>
      <c r="AA23" s="54" t="s">
        <v>97</v>
      </c>
      <c r="AB23" s="54" t="s">
        <v>97</v>
      </c>
      <c r="AC23" s="54" t="s">
        <v>97</v>
      </c>
      <c r="AD23" s="54" t="s">
        <v>97</v>
      </c>
      <c r="AE23" s="54" t="s">
        <v>97</v>
      </c>
      <c r="AF23" s="43" t="s">
        <v>396</v>
      </c>
      <c r="AG23" s="43" t="s">
        <v>396</v>
      </c>
      <c r="AH23" s="43" t="s">
        <v>259</v>
      </c>
      <c r="AI23" s="43" t="s">
        <v>259</v>
      </c>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2:59" ht="12.75">
      <c r="B24" s="2" t="s">
        <v>502</v>
      </c>
      <c r="C24" s="1">
        <f>E24*(VLOOKUP(D24,Race,2,FALSE)*(N24*init_bonus+O24+P24*front+Q24*Back+R24+S24*armour+SUM(T24:V24))*(Thrust_base+(I24/J24)/Thrust_div)*POWER(W24,Weapon_power))/(POWER(signature,(L24-M24)))*IF(K24="Y",gravitic,1)*IF(H24="Y",agile,1)/divisor</f>
        <v>548.1499956693561</v>
      </c>
      <c r="D24" s="1" t="s">
        <v>494</v>
      </c>
      <c r="E24" s="52">
        <v>1</v>
      </c>
      <c r="F24" s="52">
        <v>96</v>
      </c>
      <c r="G24" s="1">
        <f>F24*C36</f>
        <v>1911.9323755109194</v>
      </c>
      <c r="H24" s="52" t="s">
        <v>21</v>
      </c>
      <c r="I24" s="52">
        <v>12</v>
      </c>
      <c r="J24" s="52">
        <v>4</v>
      </c>
      <c r="K24" s="52" t="s">
        <v>21</v>
      </c>
      <c r="L24" s="52">
        <v>15</v>
      </c>
      <c r="M24" s="52">
        <v>8</v>
      </c>
      <c r="N24" s="52">
        <v>0</v>
      </c>
      <c r="O24" s="52">
        <v>75</v>
      </c>
      <c r="P24" s="52">
        <v>70</v>
      </c>
      <c r="Q24" s="52">
        <v>70</v>
      </c>
      <c r="R24" s="52">
        <v>80</v>
      </c>
      <c r="S24" s="52">
        <v>4.75</v>
      </c>
      <c r="T24" s="52"/>
      <c r="U24" s="52"/>
      <c r="V24" s="52"/>
      <c r="W24" s="1">
        <f>SUM(X24:BD24)*(num_weapons_base+num_weapons_mod*COUNT(X24:BD24))</f>
        <v>409.89168000000006</v>
      </c>
      <c r="X24" s="53">
        <f aca="true" t="shared" si="8" ref="X24:AI24">VLOOKUP(X23,weapon,2,FALSE)</f>
        <v>32</v>
      </c>
      <c r="Y24" s="53">
        <f t="shared" si="8"/>
        <v>32</v>
      </c>
      <c r="Z24" s="53">
        <f t="shared" si="8"/>
        <v>32</v>
      </c>
      <c r="AA24" s="53">
        <f t="shared" si="8"/>
        <v>32</v>
      </c>
      <c r="AB24" s="53">
        <f t="shared" si="8"/>
        <v>32</v>
      </c>
      <c r="AC24" s="53">
        <f t="shared" si="8"/>
        <v>32</v>
      </c>
      <c r="AD24" s="53">
        <f t="shared" si="8"/>
        <v>32</v>
      </c>
      <c r="AE24" s="53">
        <f t="shared" si="8"/>
        <v>32</v>
      </c>
      <c r="AF24" s="53">
        <f t="shared" si="8"/>
        <v>10.023750000000001</v>
      </c>
      <c r="AG24" s="53">
        <f t="shared" si="8"/>
        <v>10.023750000000001</v>
      </c>
      <c r="AH24" s="53">
        <f t="shared" si="8"/>
        <v>4.2997499999999995</v>
      </c>
      <c r="AI24" s="53">
        <f t="shared" si="8"/>
        <v>4.2997499999999995</v>
      </c>
      <c r="AJ24" s="53"/>
      <c r="AK24" s="53"/>
      <c r="AL24" s="53"/>
      <c r="AM24" s="53"/>
      <c r="AN24" s="53"/>
      <c r="AO24" s="53"/>
      <c r="AP24" s="53"/>
      <c r="AQ24" s="53"/>
      <c r="AR24" s="53"/>
      <c r="AS24" s="53"/>
      <c r="AT24" s="53"/>
      <c r="AU24" s="53"/>
      <c r="AV24" s="53"/>
      <c r="AW24" s="53"/>
      <c r="AX24" s="53"/>
      <c r="AY24" s="43"/>
      <c r="AZ24" s="43"/>
      <c r="BA24" s="43"/>
      <c r="BB24" s="43"/>
      <c r="BC24" s="43"/>
      <c r="BD24" s="43"/>
      <c r="BE24" s="43"/>
      <c r="BF24" s="43"/>
      <c r="BG24" s="43"/>
    </row>
    <row r="25" spans="3:59" ht="12.75">
      <c r="C25" s="42"/>
      <c r="D25" s="42"/>
      <c r="E25" s="5"/>
      <c r="F25" s="5"/>
      <c r="G25" s="7"/>
      <c r="H25" s="5"/>
      <c r="I25" s="5"/>
      <c r="J25" s="5"/>
      <c r="K25" s="5"/>
      <c r="L25" s="5"/>
      <c r="M25" s="5"/>
      <c r="N25" s="5"/>
      <c r="O25" s="5"/>
      <c r="P25" s="5"/>
      <c r="Q25" s="5"/>
      <c r="R25" s="5"/>
      <c r="S25" s="5"/>
      <c r="T25" s="5"/>
      <c r="U25" s="5"/>
      <c r="V25" s="5"/>
      <c r="W25" s="1"/>
      <c r="X25" s="54" t="s">
        <v>97</v>
      </c>
      <c r="Y25" s="54" t="s">
        <v>97</v>
      </c>
      <c r="Z25" s="54" t="s">
        <v>97</v>
      </c>
      <c r="AA25" s="54" t="s">
        <v>97</v>
      </c>
      <c r="AB25" s="54" t="s">
        <v>97</v>
      </c>
      <c r="AC25" s="54" t="s">
        <v>97</v>
      </c>
      <c r="AD25" s="54" t="s">
        <v>97</v>
      </c>
      <c r="AE25" s="54" t="s">
        <v>97</v>
      </c>
      <c r="AF25" s="43" t="s">
        <v>396</v>
      </c>
      <c r="AG25" s="43" t="s">
        <v>396</v>
      </c>
      <c r="AH25" s="43" t="s">
        <v>259</v>
      </c>
      <c r="AI25" s="43" t="s">
        <v>259</v>
      </c>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2:59" ht="12.75">
      <c r="B26" s="2" t="s">
        <v>503</v>
      </c>
      <c r="C26" s="1">
        <f>E26*(VLOOKUP(D26,Race,2,FALSE)*(N26*init_bonus+O26+P26*front+Q26*Back+R26+S26*armour+SUM(T26:V26))*(Thrust_base+(I26/J26)/Thrust_div)*POWER(W26,Weapon_power))/(POWER(signature,(L26-M26)))*IF(K26="Y",gravitic,1)*IF(H26="Y",agile,1)/divisor</f>
        <v>432.158521662766</v>
      </c>
      <c r="D26" s="1" t="s">
        <v>494</v>
      </c>
      <c r="E26" s="52">
        <v>1</v>
      </c>
      <c r="F26" s="52">
        <v>0</v>
      </c>
      <c r="G26" s="1">
        <v>0</v>
      </c>
      <c r="H26" s="52" t="s">
        <v>21</v>
      </c>
      <c r="I26" s="52">
        <v>8</v>
      </c>
      <c r="J26" s="52">
        <v>3</v>
      </c>
      <c r="K26" s="52" t="s">
        <v>21</v>
      </c>
      <c r="L26" s="52">
        <v>10</v>
      </c>
      <c r="M26" s="52">
        <v>6</v>
      </c>
      <c r="N26" s="52">
        <v>0</v>
      </c>
      <c r="O26" s="52">
        <v>48</v>
      </c>
      <c r="P26" s="52">
        <v>42</v>
      </c>
      <c r="Q26" s="52">
        <v>36</v>
      </c>
      <c r="R26" s="52">
        <v>50</v>
      </c>
      <c r="S26" s="52">
        <v>4</v>
      </c>
      <c r="T26" s="52"/>
      <c r="U26" s="52"/>
      <c r="V26" s="52"/>
      <c r="W26" s="1">
        <f>SUM(X26:BD26)*(num_weapons_base+num_weapons_mod*COUNT(X26:BD26))</f>
        <v>409.89168000000006</v>
      </c>
      <c r="X26" s="53">
        <f aca="true" t="shared" si="9" ref="X26:AI26">VLOOKUP(X25,weapon,2,FALSE)</f>
        <v>32</v>
      </c>
      <c r="Y26" s="53">
        <f t="shared" si="9"/>
        <v>32</v>
      </c>
      <c r="Z26" s="53">
        <f t="shared" si="9"/>
        <v>32</v>
      </c>
      <c r="AA26" s="53">
        <f t="shared" si="9"/>
        <v>32</v>
      </c>
      <c r="AB26" s="53">
        <f t="shared" si="9"/>
        <v>32</v>
      </c>
      <c r="AC26" s="53">
        <f t="shared" si="9"/>
        <v>32</v>
      </c>
      <c r="AD26" s="53">
        <f t="shared" si="9"/>
        <v>32</v>
      </c>
      <c r="AE26" s="53">
        <f t="shared" si="9"/>
        <v>32</v>
      </c>
      <c r="AF26" s="53">
        <f t="shared" si="9"/>
        <v>10.023750000000001</v>
      </c>
      <c r="AG26" s="53">
        <f t="shared" si="9"/>
        <v>10.023750000000001</v>
      </c>
      <c r="AH26" s="53">
        <f t="shared" si="9"/>
        <v>4.2997499999999995</v>
      </c>
      <c r="AI26" s="53">
        <f t="shared" si="9"/>
        <v>4.2997499999999995</v>
      </c>
      <c r="AJ26" s="53"/>
      <c r="AK26" s="53"/>
      <c r="AL26" s="53"/>
      <c r="AM26" s="53"/>
      <c r="AN26" s="53"/>
      <c r="AO26" s="53"/>
      <c r="AP26" s="53"/>
      <c r="AQ26" s="53"/>
      <c r="AR26" s="53"/>
      <c r="AS26" s="53"/>
      <c r="AT26" s="53"/>
      <c r="AU26" s="53"/>
      <c r="AV26" s="53"/>
      <c r="AW26" s="53"/>
      <c r="AX26" s="53"/>
      <c r="AY26" s="43"/>
      <c r="AZ26" s="43"/>
      <c r="BA26" s="43"/>
      <c r="BB26" s="43"/>
      <c r="BC26" s="43"/>
      <c r="BD26" s="43"/>
      <c r="BE26" s="43"/>
      <c r="BF26" s="43"/>
      <c r="BG26" s="43"/>
    </row>
    <row r="27" spans="3:59" ht="12.75">
      <c r="C27" s="42"/>
      <c r="D27" s="42"/>
      <c r="E27" s="5"/>
      <c r="F27" s="5"/>
      <c r="G27" s="7"/>
      <c r="H27" s="5"/>
      <c r="I27" s="5"/>
      <c r="J27" s="5"/>
      <c r="K27" s="5"/>
      <c r="L27" s="5"/>
      <c r="M27" s="5"/>
      <c r="N27" s="5"/>
      <c r="O27" s="5"/>
      <c r="P27" s="5"/>
      <c r="Q27" s="5"/>
      <c r="R27" s="5"/>
      <c r="S27" s="5"/>
      <c r="T27" s="5"/>
      <c r="U27" s="5"/>
      <c r="V27" s="5"/>
      <c r="W27" s="1"/>
      <c r="X27" s="54" t="s">
        <v>343</v>
      </c>
      <c r="Y27" s="54" t="s">
        <v>343</v>
      </c>
      <c r="Z27" s="54" t="s">
        <v>287</v>
      </c>
      <c r="AA27" s="54" t="s">
        <v>287</v>
      </c>
      <c r="AB27" s="54" t="s">
        <v>287</v>
      </c>
      <c r="AC27" s="54" t="s">
        <v>287</v>
      </c>
      <c r="AD27" s="43" t="s">
        <v>259</v>
      </c>
      <c r="AE27" s="43" t="s">
        <v>259</v>
      </c>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2:59" ht="12.75">
      <c r="B28" s="2" t="s">
        <v>504</v>
      </c>
      <c r="C28" s="1">
        <f>E28*(VLOOKUP(D28,Race,2,FALSE)*(N28*init_bonus+O28+P28*front+Q28*Back+R28+S28*armour+SUM(T28:V28))*(Thrust_base+(I28/J28)/Thrust_div)*POWER(W28,Weapon_power))/(POWER(signature,(L28-M28)))*IF(K28="Y",gravitic,1)*IF(H28="Y",agile,1)/divisor</f>
        <v>110.35820729319832</v>
      </c>
      <c r="D28" s="1" t="s">
        <v>494</v>
      </c>
      <c r="E28" s="52">
        <v>1</v>
      </c>
      <c r="F28" s="52">
        <v>0</v>
      </c>
      <c r="G28" s="1">
        <v>0</v>
      </c>
      <c r="H28" s="52" t="s">
        <v>21</v>
      </c>
      <c r="I28" s="52">
        <v>8</v>
      </c>
      <c r="J28" s="52">
        <v>2</v>
      </c>
      <c r="K28" s="52" t="s">
        <v>21</v>
      </c>
      <c r="L28" s="52">
        <v>4</v>
      </c>
      <c r="M28" s="52">
        <v>4</v>
      </c>
      <c r="N28" s="52">
        <v>12</v>
      </c>
      <c r="O28" s="52">
        <v>38</v>
      </c>
      <c r="P28" s="52">
        <v>0</v>
      </c>
      <c r="Q28" s="52">
        <v>0</v>
      </c>
      <c r="R28" s="52">
        <v>0</v>
      </c>
      <c r="S28" s="52">
        <v>1</v>
      </c>
      <c r="T28" s="52"/>
      <c r="U28" s="52"/>
      <c r="V28" s="52"/>
      <c r="W28" s="1">
        <f>SUM(X28:BD28)*(num_weapons_base+num_weapons_mod*COUNT(X28:BD28))</f>
        <v>146.59117714285713</v>
      </c>
      <c r="X28" s="53">
        <f aca="true" t="shared" si="10" ref="X28:AE28">VLOOKUP(X27,weapon,2,FALSE)</f>
        <v>39.921428571428564</v>
      </c>
      <c r="Y28" s="53">
        <f t="shared" si="10"/>
        <v>39.921428571428564</v>
      </c>
      <c r="Z28" s="53">
        <f t="shared" si="10"/>
        <v>6.5205</v>
      </c>
      <c r="AA28" s="53">
        <f t="shared" si="10"/>
        <v>6.5205</v>
      </c>
      <c r="AB28" s="53">
        <f t="shared" si="10"/>
        <v>6.5205</v>
      </c>
      <c r="AC28" s="53">
        <f t="shared" si="10"/>
        <v>6.5205</v>
      </c>
      <c r="AD28" s="53">
        <f t="shared" si="10"/>
        <v>4.2997499999999995</v>
      </c>
      <c r="AE28" s="53">
        <f t="shared" si="10"/>
        <v>4.2997499999999995</v>
      </c>
      <c r="AF28" s="53"/>
      <c r="AG28" s="53"/>
      <c r="AH28" s="53"/>
      <c r="AI28" s="53"/>
      <c r="AJ28" s="53"/>
      <c r="AK28" s="53"/>
      <c r="AL28" s="53"/>
      <c r="AM28" s="53"/>
      <c r="AN28" s="53"/>
      <c r="AO28" s="53"/>
      <c r="AP28" s="53"/>
      <c r="AQ28" s="53"/>
      <c r="AR28" s="53"/>
      <c r="AS28" s="53"/>
      <c r="AT28" s="53"/>
      <c r="AU28" s="53"/>
      <c r="AV28" s="53"/>
      <c r="AW28" s="53"/>
      <c r="AX28" s="53"/>
      <c r="AY28" s="43"/>
      <c r="AZ28" s="43"/>
      <c r="BA28" s="43"/>
      <c r="BB28" s="43"/>
      <c r="BC28" s="43"/>
      <c r="BD28" s="43"/>
      <c r="BE28" s="43"/>
      <c r="BF28" s="43"/>
      <c r="BG28" s="43"/>
    </row>
    <row r="29" spans="3:59" ht="12.75">
      <c r="C29" s="42"/>
      <c r="D29" s="42"/>
      <c r="E29" s="5"/>
      <c r="F29" s="5"/>
      <c r="G29" s="7"/>
      <c r="H29" s="5"/>
      <c r="I29" s="5"/>
      <c r="J29" s="5"/>
      <c r="K29" s="5"/>
      <c r="L29" s="5"/>
      <c r="M29" s="5"/>
      <c r="N29" s="5"/>
      <c r="O29" s="5"/>
      <c r="P29" s="5"/>
      <c r="Q29" s="5"/>
      <c r="R29" s="5"/>
      <c r="S29" s="5"/>
      <c r="T29" s="5"/>
      <c r="U29" s="5"/>
      <c r="V29" s="5"/>
      <c r="W29" s="1"/>
      <c r="X29" s="54" t="s">
        <v>413</v>
      </c>
      <c r="Y29" s="54" t="s">
        <v>413</v>
      </c>
      <c r="Z29" s="54" t="s">
        <v>408</v>
      </c>
      <c r="AA29" s="54" t="s">
        <v>408</v>
      </c>
      <c r="AB29" s="54" t="s">
        <v>408</v>
      </c>
      <c r="AC29" s="54" t="s">
        <v>408</v>
      </c>
      <c r="AD29" s="43" t="s">
        <v>259</v>
      </c>
      <c r="AE29" s="43" t="s">
        <v>259</v>
      </c>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2:59" ht="12.75">
      <c r="B30" s="2" t="s">
        <v>505</v>
      </c>
      <c r="C30" s="1">
        <f>E30*(VLOOKUP(D30,Race,2,FALSE)*(N30*init_bonus+O30+P30*front+Q30*Back+R30+S30*armour+SUM(T30:V30))*(Thrust_base+(I30/J30)/Thrust_div)*POWER(W30,Weapon_power))/(POWER(signature,(L30-M30)))*IF(K30="Y",gravitic,1)*IF(H30="Y",agile,1)/divisor</f>
        <v>92.3779979175708</v>
      </c>
      <c r="D30" s="1" t="s">
        <v>494</v>
      </c>
      <c r="E30" s="52">
        <v>1</v>
      </c>
      <c r="F30" s="52">
        <v>0</v>
      </c>
      <c r="G30" s="1">
        <f>2*C28</f>
        <v>220.71641458639664</v>
      </c>
      <c r="H30" s="52" t="s">
        <v>21</v>
      </c>
      <c r="I30" s="52">
        <v>8</v>
      </c>
      <c r="J30" s="52">
        <v>2</v>
      </c>
      <c r="K30" s="52" t="s">
        <v>21</v>
      </c>
      <c r="L30" s="52">
        <v>4</v>
      </c>
      <c r="M30" s="52">
        <v>4</v>
      </c>
      <c r="N30" s="52">
        <v>12</v>
      </c>
      <c r="O30" s="52">
        <v>40</v>
      </c>
      <c r="P30" s="52">
        <v>0</v>
      </c>
      <c r="Q30" s="52">
        <v>0</v>
      </c>
      <c r="R30" s="52">
        <v>0</v>
      </c>
      <c r="S30" s="52">
        <v>1</v>
      </c>
      <c r="T30" s="52"/>
      <c r="U30" s="52"/>
      <c r="V30" s="52"/>
      <c r="W30" s="1">
        <f>SUM(X30:BD30)*(num_weapons_base+num_weapons_mod*COUNT(X30:BD30))</f>
        <v>121.34481628742519</v>
      </c>
      <c r="X30" s="53">
        <f aca="true" t="shared" si="11" ref="X30:AE30">VLOOKUP(X29,weapon,2,FALSE)</f>
        <v>21.568068862275457</v>
      </c>
      <c r="Y30" s="53">
        <f t="shared" si="11"/>
        <v>21.568068862275457</v>
      </c>
      <c r="Z30" s="53">
        <f t="shared" si="11"/>
        <v>10.766250000000001</v>
      </c>
      <c r="AA30" s="53">
        <f t="shared" si="11"/>
        <v>10.766250000000001</v>
      </c>
      <c r="AB30" s="53">
        <f t="shared" si="11"/>
        <v>10.766250000000001</v>
      </c>
      <c r="AC30" s="53">
        <f t="shared" si="11"/>
        <v>10.766250000000001</v>
      </c>
      <c r="AD30" s="53">
        <f t="shared" si="11"/>
        <v>4.2997499999999995</v>
      </c>
      <c r="AE30" s="53">
        <f t="shared" si="11"/>
        <v>4.2997499999999995</v>
      </c>
      <c r="AF30" s="53"/>
      <c r="AG30" s="53"/>
      <c r="AH30" s="53"/>
      <c r="AI30" s="53"/>
      <c r="AJ30" s="53"/>
      <c r="AK30" s="53"/>
      <c r="AL30" s="53"/>
      <c r="AM30" s="53"/>
      <c r="AN30" s="53"/>
      <c r="AO30" s="53"/>
      <c r="AP30" s="53"/>
      <c r="AQ30" s="53"/>
      <c r="AR30" s="53"/>
      <c r="AS30" s="53"/>
      <c r="AT30" s="53"/>
      <c r="AU30" s="53"/>
      <c r="AV30" s="53"/>
      <c r="AW30" s="53"/>
      <c r="AX30" s="53"/>
      <c r="AY30" s="43"/>
      <c r="AZ30" s="43"/>
      <c r="BA30" s="43"/>
      <c r="BB30" s="43"/>
      <c r="BC30" s="43"/>
      <c r="BD30" s="43"/>
      <c r="BE30" s="43"/>
      <c r="BF30" s="43"/>
      <c r="BG30" s="43"/>
    </row>
    <row r="31" spans="3:59" ht="12.75">
      <c r="C31" s="42"/>
      <c r="D31" s="42"/>
      <c r="E31" s="5"/>
      <c r="F31" s="5"/>
      <c r="G31" s="7"/>
      <c r="H31" s="5"/>
      <c r="I31" s="5"/>
      <c r="J31" s="5"/>
      <c r="K31" s="5"/>
      <c r="L31" s="5"/>
      <c r="M31" s="5"/>
      <c r="N31" s="5"/>
      <c r="O31" s="5"/>
      <c r="P31" s="5"/>
      <c r="Q31" s="5"/>
      <c r="R31" s="5"/>
      <c r="S31" s="5"/>
      <c r="T31" s="5"/>
      <c r="U31" s="5"/>
      <c r="V31" s="5"/>
      <c r="W31" s="1"/>
      <c r="X31" s="43" t="s">
        <v>401</v>
      </c>
      <c r="Y31" s="43" t="s">
        <v>401</v>
      </c>
      <c r="Z31" s="43" t="s">
        <v>337</v>
      </c>
      <c r="AA31" s="43" t="s">
        <v>337</v>
      </c>
      <c r="AB31" s="43" t="s">
        <v>337</v>
      </c>
      <c r="AC31" s="43" t="s">
        <v>337</v>
      </c>
      <c r="AD31" s="43" t="s">
        <v>337</v>
      </c>
      <c r="AE31" s="43" t="s">
        <v>337</v>
      </c>
      <c r="AF31" s="43" t="s">
        <v>337</v>
      </c>
      <c r="AG31" s="43" t="s">
        <v>337</v>
      </c>
      <c r="AH31" s="43" t="s">
        <v>268</v>
      </c>
      <c r="AI31" s="43" t="s">
        <v>268</v>
      </c>
      <c r="AJ31" s="43" t="s">
        <v>268</v>
      </c>
      <c r="AK31" s="43" t="s">
        <v>268</v>
      </c>
      <c r="AL31" s="43" t="s">
        <v>99</v>
      </c>
      <c r="AM31" s="43" t="s">
        <v>99</v>
      </c>
      <c r="AN31" s="44" t="s">
        <v>97</v>
      </c>
      <c r="AO31" s="43" t="s">
        <v>97</v>
      </c>
      <c r="AP31" s="43" t="s">
        <v>396</v>
      </c>
      <c r="AQ31" s="43" t="s">
        <v>396</v>
      </c>
      <c r="AR31" s="43" t="s">
        <v>396</v>
      </c>
      <c r="AS31" s="43" t="s">
        <v>396</v>
      </c>
      <c r="AT31" s="43" t="s">
        <v>396</v>
      </c>
      <c r="AU31" s="43" t="s">
        <v>396</v>
      </c>
      <c r="AV31" s="43" t="s">
        <v>396</v>
      </c>
      <c r="AW31" s="43" t="s">
        <v>396</v>
      </c>
      <c r="AX31" s="43" t="s">
        <v>257</v>
      </c>
      <c r="AY31" s="43" t="s">
        <v>257</v>
      </c>
      <c r="AZ31" s="43" t="s">
        <v>257</v>
      </c>
      <c r="BA31" s="43" t="s">
        <v>257</v>
      </c>
      <c r="BB31" s="43" t="s">
        <v>257</v>
      </c>
      <c r="BC31" s="43" t="s">
        <v>257</v>
      </c>
      <c r="BD31" s="43"/>
      <c r="BE31" s="43"/>
      <c r="BF31" s="43"/>
      <c r="BG31" s="43"/>
    </row>
    <row r="32" spans="2:59" ht="12.75">
      <c r="B32" s="2" t="s">
        <v>506</v>
      </c>
      <c r="C32" s="1">
        <f>E32*(VLOOKUP(D32,Race,2,FALSE)*(N32*init_bonus+O32+P32*front+Q32*Back+R32+S32*armour+SUM(T32:V32))*(Thrust_base+(I32/J32)/Thrust_div)*POWER(W32,Weapon_power))/(POWER(signature,(L32-M32)))*IF(K32="Y",gravitic,1)*IF(H32="Y",agile,1)/divisor</f>
        <v>1450.7087970797666</v>
      </c>
      <c r="D32" s="1" t="s">
        <v>494</v>
      </c>
      <c r="E32" s="52">
        <v>1</v>
      </c>
      <c r="F32" s="52">
        <v>24</v>
      </c>
      <c r="G32" s="1">
        <f>F32*C36</f>
        <v>477.98309387772986</v>
      </c>
      <c r="H32" s="52" t="s">
        <v>21</v>
      </c>
      <c r="I32" s="52">
        <v>10</v>
      </c>
      <c r="J32" s="52">
        <v>4</v>
      </c>
      <c r="K32" s="52" t="s">
        <v>21</v>
      </c>
      <c r="L32" s="52">
        <v>14</v>
      </c>
      <c r="M32" s="52">
        <v>9</v>
      </c>
      <c r="N32" s="52">
        <v>0</v>
      </c>
      <c r="O32" s="52">
        <v>64</v>
      </c>
      <c r="P32" s="52">
        <v>104</v>
      </c>
      <c r="Q32" s="52">
        <v>60</v>
      </c>
      <c r="R32" s="52">
        <v>80</v>
      </c>
      <c r="S32" s="52">
        <v>6</v>
      </c>
      <c r="T32" s="52"/>
      <c r="U32" s="52"/>
      <c r="V32" s="52"/>
      <c r="W32" s="1">
        <f>SUM(X32:BD32)*(num_weapons_base+num_weapons_mod*COUNT(X32:BD32))</f>
        <v>864.3427506586831</v>
      </c>
      <c r="X32" s="53">
        <f aca="true" t="shared" si="12" ref="X32:AX32">VLOOKUP(X31,weapon,2,FALSE)</f>
        <v>41.553000000000004</v>
      </c>
      <c r="Y32" s="53">
        <f t="shared" si="12"/>
        <v>41.553000000000004</v>
      </c>
      <c r="Z32" s="53">
        <f t="shared" si="12"/>
        <v>0</v>
      </c>
      <c r="AA32" s="53">
        <f t="shared" si="12"/>
        <v>0</v>
      </c>
      <c r="AB32" s="53">
        <f t="shared" si="12"/>
        <v>0</v>
      </c>
      <c r="AC32" s="53">
        <f t="shared" si="12"/>
        <v>0</v>
      </c>
      <c r="AD32" s="53">
        <f t="shared" si="12"/>
        <v>0</v>
      </c>
      <c r="AE32" s="53">
        <f t="shared" si="12"/>
        <v>0</v>
      </c>
      <c r="AF32" s="53">
        <f t="shared" si="12"/>
        <v>0</v>
      </c>
      <c r="AG32" s="53">
        <f t="shared" si="12"/>
        <v>0</v>
      </c>
      <c r="AH32" s="53">
        <f t="shared" si="12"/>
        <v>14.712574850299404</v>
      </c>
      <c r="AI32" s="53">
        <f t="shared" si="12"/>
        <v>14.712574850299404</v>
      </c>
      <c r="AJ32" s="53">
        <f t="shared" si="12"/>
        <v>14.712574850299404</v>
      </c>
      <c r="AK32" s="53">
        <f t="shared" si="12"/>
        <v>14.712574850299404</v>
      </c>
      <c r="AL32" s="53">
        <f t="shared" si="12"/>
        <v>32</v>
      </c>
      <c r="AM32" s="53">
        <f t="shared" si="12"/>
        <v>32</v>
      </c>
      <c r="AN32" s="53">
        <f t="shared" si="12"/>
        <v>32</v>
      </c>
      <c r="AO32" s="53">
        <f t="shared" si="12"/>
        <v>32</v>
      </c>
      <c r="AP32" s="53">
        <f t="shared" si="12"/>
        <v>10.023750000000001</v>
      </c>
      <c r="AQ32" s="53">
        <f t="shared" si="12"/>
        <v>10.023750000000001</v>
      </c>
      <c r="AR32" s="53">
        <f t="shared" si="12"/>
        <v>10.023750000000001</v>
      </c>
      <c r="AS32" s="53">
        <f t="shared" si="12"/>
        <v>10.023750000000001</v>
      </c>
      <c r="AT32" s="53">
        <f t="shared" si="12"/>
        <v>10.023750000000001</v>
      </c>
      <c r="AU32" s="53">
        <f t="shared" si="12"/>
        <v>10.023750000000001</v>
      </c>
      <c r="AV32" s="53">
        <f t="shared" si="12"/>
        <v>10.023750000000001</v>
      </c>
      <c r="AW32" s="53">
        <f t="shared" si="12"/>
        <v>10.023750000000001</v>
      </c>
      <c r="AX32" s="53">
        <f t="shared" si="12"/>
        <v>5.953499999999999</v>
      </c>
      <c r="AY32" s="53">
        <f>VLOOKUP(AY31,weapon,2,FALSE)</f>
        <v>5.953499999999999</v>
      </c>
      <c r="AZ32" s="53">
        <f>VLOOKUP(AZ31,weapon,2,FALSE)</f>
        <v>5.953499999999999</v>
      </c>
      <c r="BA32" s="53">
        <f>VLOOKUP(BA31,weapon,2,FALSE)</f>
        <v>5.953499999999999</v>
      </c>
      <c r="BB32" s="53">
        <f>VLOOKUP(BB31,weapon,2,FALSE)</f>
        <v>5.953499999999999</v>
      </c>
      <c r="BC32" s="53">
        <f>VLOOKUP(BC31,weapon,2,FALSE)</f>
        <v>5.953499999999999</v>
      </c>
      <c r="BD32" s="43"/>
      <c r="BE32" s="43"/>
      <c r="BF32" s="43"/>
      <c r="BG32" s="43"/>
    </row>
    <row r="33" spans="2:59" ht="12.75">
      <c r="B33" s="2"/>
      <c r="C33" s="42"/>
      <c r="D33" s="42"/>
      <c r="E33" s="5"/>
      <c r="F33" s="5"/>
      <c r="G33" s="7"/>
      <c r="H33" s="5"/>
      <c r="I33" s="5"/>
      <c r="J33" s="5"/>
      <c r="K33" s="5"/>
      <c r="L33" s="5"/>
      <c r="M33" s="5"/>
      <c r="N33" s="5"/>
      <c r="O33" s="5"/>
      <c r="P33" s="5"/>
      <c r="Q33" s="5"/>
      <c r="R33" s="5"/>
      <c r="S33" s="5"/>
      <c r="T33" s="5"/>
      <c r="U33" s="5"/>
      <c r="V33" s="5"/>
      <c r="W33" s="1"/>
      <c r="X33" s="54" t="s">
        <v>228</v>
      </c>
      <c r="Y33" s="54" t="s">
        <v>435</v>
      </c>
      <c r="Z33" s="54" t="s">
        <v>435</v>
      </c>
      <c r="AA33" s="54" t="s">
        <v>435</v>
      </c>
      <c r="AB33" s="54" t="s">
        <v>435</v>
      </c>
      <c r="AC33" s="54" t="s">
        <v>433</v>
      </c>
      <c r="AD33" s="54" t="s">
        <v>433</v>
      </c>
      <c r="AE33" s="54" t="s">
        <v>433</v>
      </c>
      <c r="AF33" s="54" t="s">
        <v>433</v>
      </c>
      <c r="AG33" s="54" t="s">
        <v>433</v>
      </c>
      <c r="AH33" s="54" t="s">
        <v>433</v>
      </c>
      <c r="AI33" s="54" t="s">
        <v>433</v>
      </c>
      <c r="AJ33" s="54" t="s">
        <v>361</v>
      </c>
      <c r="AK33" s="54" t="s">
        <v>361</v>
      </c>
      <c r="AL33" s="54" t="s">
        <v>358</v>
      </c>
      <c r="AM33" s="54" t="s">
        <v>358</v>
      </c>
      <c r="AN33" s="54" t="s">
        <v>358</v>
      </c>
      <c r="AO33" s="54" t="s">
        <v>304</v>
      </c>
      <c r="AP33" s="54" t="s">
        <v>304</v>
      </c>
      <c r="AQ33" s="54" t="s">
        <v>304</v>
      </c>
      <c r="AR33" s="54" t="s">
        <v>304</v>
      </c>
      <c r="AS33" s="54" t="s">
        <v>304</v>
      </c>
      <c r="AT33" s="54" t="s">
        <v>304</v>
      </c>
      <c r="AU33" s="54" t="s">
        <v>304</v>
      </c>
      <c r="AV33" s="54" t="s">
        <v>304</v>
      </c>
      <c r="AW33" s="54" t="s">
        <v>304</v>
      </c>
      <c r="AX33" s="54" t="s">
        <v>304</v>
      </c>
      <c r="AY33" s="54"/>
      <c r="AZ33" s="43"/>
      <c r="BA33" s="43"/>
      <c r="BB33" s="43"/>
      <c r="BC33" s="43"/>
      <c r="BD33" s="43"/>
      <c r="BE33" s="43"/>
      <c r="BF33" s="43"/>
      <c r="BG33" s="43"/>
    </row>
    <row r="34" spans="2:59" ht="12.75">
      <c r="B34" s="2" t="s">
        <v>634</v>
      </c>
      <c r="C34" s="1">
        <f>E34*(VLOOKUP(D34,Race,2,FALSE)*(N34*init_bonus+O34+P34*front+Q34*Back+R34+S34*armour+SUM(T34:V34))*(Thrust_base+(I34/J34)/Thrust_div)*POWER(W34,Weapon_power))/(POWER(signature,(L34-M34)))*IF(K34="Y",gravitic,1)*IF(H34="Y",agile,1)/divisor</f>
        <v>6742.488177431279</v>
      </c>
      <c r="D34" s="1" t="s">
        <v>494</v>
      </c>
      <c r="E34" s="52">
        <v>1.8</v>
      </c>
      <c r="F34" s="52">
        <v>24</v>
      </c>
      <c r="G34" s="1">
        <f>C36*F34</f>
        <v>477.98309387772986</v>
      </c>
      <c r="H34" s="52" t="s">
        <v>21</v>
      </c>
      <c r="I34" s="52">
        <v>12</v>
      </c>
      <c r="J34" s="52">
        <v>3</v>
      </c>
      <c r="K34" s="52" t="s">
        <v>2</v>
      </c>
      <c r="L34" s="55">
        <v>16</v>
      </c>
      <c r="M34" s="52">
        <v>11</v>
      </c>
      <c r="N34" s="52">
        <v>0</v>
      </c>
      <c r="O34" s="52">
        <v>50</v>
      </c>
      <c r="P34" s="52">
        <v>60</v>
      </c>
      <c r="Q34" s="52">
        <v>70</v>
      </c>
      <c r="R34" s="52">
        <v>150</v>
      </c>
      <c r="S34" s="55">
        <v>4</v>
      </c>
      <c r="T34" s="55"/>
      <c r="U34" s="55"/>
      <c r="V34" s="55"/>
      <c r="W34" s="1">
        <f>SUM(X34:BD34)*(num_weapons_base+num_weapons_mod*COUNT(X34:BD34))</f>
        <v>1774.427152559281</v>
      </c>
      <c r="X34" s="53">
        <f aca="true" t="shared" si="13" ref="X34:AX34">VLOOKUP(X33,weapon,2,FALSE)</f>
        <v>55.13062500000001</v>
      </c>
      <c r="Y34" s="53">
        <f t="shared" si="13"/>
        <v>29.403000000000006</v>
      </c>
      <c r="Z34" s="53">
        <f t="shared" si="13"/>
        <v>29.403000000000006</v>
      </c>
      <c r="AA34" s="53">
        <f t="shared" si="13"/>
        <v>29.403000000000006</v>
      </c>
      <c r="AB34" s="53">
        <f t="shared" si="13"/>
        <v>29.403000000000006</v>
      </c>
      <c r="AC34" s="53">
        <f t="shared" si="13"/>
        <v>22.052250000000004</v>
      </c>
      <c r="AD34" s="53">
        <f t="shared" si="13"/>
        <v>22.052250000000004</v>
      </c>
      <c r="AE34" s="53">
        <f t="shared" si="13"/>
        <v>22.052250000000004</v>
      </c>
      <c r="AF34" s="53">
        <f t="shared" si="13"/>
        <v>22.052250000000004</v>
      </c>
      <c r="AG34" s="53">
        <f t="shared" si="13"/>
        <v>22.052250000000004</v>
      </c>
      <c r="AH34" s="53">
        <f t="shared" si="13"/>
        <v>22.052250000000004</v>
      </c>
      <c r="AI34" s="53">
        <f t="shared" si="13"/>
        <v>22.052250000000004</v>
      </c>
      <c r="AJ34" s="53">
        <f t="shared" si="13"/>
        <v>62.82883832335331</v>
      </c>
      <c r="AK34" s="53">
        <f t="shared" si="13"/>
        <v>62.82883832335331</v>
      </c>
      <c r="AL34" s="53">
        <f t="shared" si="13"/>
        <v>54.25055999999999</v>
      </c>
      <c r="AM34" s="53">
        <f t="shared" si="13"/>
        <v>54.25055999999999</v>
      </c>
      <c r="AN34" s="53">
        <f t="shared" si="13"/>
        <v>54.25055999999999</v>
      </c>
      <c r="AO34" s="53">
        <f t="shared" si="13"/>
        <v>25.42995</v>
      </c>
      <c r="AP34" s="53">
        <f t="shared" si="13"/>
        <v>25.42995</v>
      </c>
      <c r="AQ34" s="53">
        <f t="shared" si="13"/>
        <v>25.42995</v>
      </c>
      <c r="AR34" s="53">
        <f t="shared" si="13"/>
        <v>25.42995</v>
      </c>
      <c r="AS34" s="53">
        <f t="shared" si="13"/>
        <v>25.42995</v>
      </c>
      <c r="AT34" s="53">
        <f t="shared" si="13"/>
        <v>25.42995</v>
      </c>
      <c r="AU34" s="53">
        <f t="shared" si="13"/>
        <v>25.42995</v>
      </c>
      <c r="AV34" s="53">
        <f t="shared" si="13"/>
        <v>25.42995</v>
      </c>
      <c r="AW34" s="53">
        <f t="shared" si="13"/>
        <v>25.42995</v>
      </c>
      <c r="AX34" s="53">
        <f t="shared" si="13"/>
        <v>25.42995</v>
      </c>
      <c r="AY34" s="53"/>
      <c r="AZ34" s="43"/>
      <c r="BA34" s="43"/>
      <c r="BB34" s="43"/>
      <c r="BC34" s="43"/>
      <c r="BD34" s="43"/>
      <c r="BE34" s="43"/>
      <c r="BF34" s="43"/>
      <c r="BG34" s="43"/>
    </row>
    <row r="35" spans="3:59" ht="12.75">
      <c r="C35" s="42"/>
      <c r="D35" s="42"/>
      <c r="E35" s="5"/>
      <c r="F35" s="5"/>
      <c r="G35" s="7"/>
      <c r="H35" s="5"/>
      <c r="I35" s="5"/>
      <c r="J35" s="5"/>
      <c r="K35" s="5"/>
      <c r="L35" s="5"/>
      <c r="M35" s="5"/>
      <c r="N35" s="5"/>
      <c r="O35" s="5"/>
      <c r="P35" s="5"/>
      <c r="Q35" s="5"/>
      <c r="R35" s="5"/>
      <c r="S35" s="5"/>
      <c r="T35" s="5"/>
      <c r="U35" s="5"/>
      <c r="V35" s="5"/>
      <c r="W35" s="1"/>
      <c r="X35" s="43" t="s">
        <v>92</v>
      </c>
      <c r="Y35" s="43" t="s">
        <v>110</v>
      </c>
      <c r="Z35" s="43" t="s">
        <v>110</v>
      </c>
      <c r="AA35" s="43" t="s">
        <v>110</v>
      </c>
      <c r="AB35" s="43" t="s">
        <v>110</v>
      </c>
      <c r="AC35" s="43"/>
      <c r="AD35" s="43"/>
      <c r="AE35" s="43"/>
      <c r="AF35" s="43"/>
      <c r="AG35" s="43"/>
      <c r="AH35" s="43"/>
      <c r="AI35" s="43"/>
      <c r="AJ35" s="43"/>
      <c r="AK35" s="43"/>
      <c r="AL35" s="43"/>
      <c r="AM35" s="43"/>
      <c r="AN35" s="44"/>
      <c r="AO35" s="43"/>
      <c r="AP35" s="43"/>
      <c r="AQ35" s="43"/>
      <c r="AR35" s="43"/>
      <c r="AS35" s="43"/>
      <c r="AT35" s="43"/>
      <c r="AU35" s="43"/>
      <c r="AV35" s="43"/>
      <c r="AW35" s="43"/>
      <c r="AX35" s="43"/>
      <c r="AY35" s="43"/>
      <c r="AZ35" s="43"/>
      <c r="BA35" s="43"/>
      <c r="BB35" s="43"/>
      <c r="BC35" s="43"/>
      <c r="BD35" s="43"/>
      <c r="BE35" s="43"/>
      <c r="BF35" s="43"/>
      <c r="BG35" s="43"/>
    </row>
    <row r="36" spans="2:59" ht="12.75">
      <c r="B36" s="2" t="s">
        <v>507</v>
      </c>
      <c r="C36" s="1">
        <f>E36*(VLOOKUP(D36,Race,2,FALSE)*(N36*init_bonus+O36+P36*front+Q36*Back+R36+S36*armour+SUM(T36:V36))*(Thrust_base+(I36/J36)/Thrust_div)*POWER(W36,Weapon_power))/(POWER(signature,(L36-M36)))*IF(K36="Y",gravitic,1)*IF(H36="Y",agile,1)/divisor</f>
        <v>19.915962244905412</v>
      </c>
      <c r="D36" s="1" t="s">
        <v>494</v>
      </c>
      <c r="E36" s="52">
        <v>1</v>
      </c>
      <c r="F36" s="52">
        <v>0</v>
      </c>
      <c r="G36" s="1">
        <v>0</v>
      </c>
      <c r="H36" s="52" t="s">
        <v>2</v>
      </c>
      <c r="I36" s="52">
        <v>10</v>
      </c>
      <c r="J36" s="52">
        <v>1</v>
      </c>
      <c r="K36" s="52" t="s">
        <v>21</v>
      </c>
      <c r="L36" s="52">
        <v>-3</v>
      </c>
      <c r="M36" s="52">
        <v>3</v>
      </c>
      <c r="N36" s="52">
        <v>17</v>
      </c>
      <c r="O36" s="52">
        <v>4</v>
      </c>
      <c r="P36" s="52">
        <v>0</v>
      </c>
      <c r="Q36" s="52">
        <v>0</v>
      </c>
      <c r="R36" s="52">
        <v>0</v>
      </c>
      <c r="S36" s="52">
        <v>0</v>
      </c>
      <c r="T36" s="52"/>
      <c r="U36" s="52"/>
      <c r="V36" s="52"/>
      <c r="W36" s="1">
        <f>SUM(X36:BD36)*(num_weapons_base+num_weapons_mod*COUNT(X36:BD36))</f>
        <v>19.110129999999995</v>
      </c>
      <c r="X36" s="53">
        <f>VLOOKUP(X35,weapon,2,FALSE)</f>
        <v>4.826250000000001</v>
      </c>
      <c r="Y36" s="53">
        <f>VLOOKUP(Y35,weapon,2,FALSE)</f>
        <v>2.912</v>
      </c>
      <c r="Z36" s="53">
        <f>VLOOKUP(Z35,weapon,2,FALSE)</f>
        <v>2.912</v>
      </c>
      <c r="AA36" s="53">
        <f>VLOOKUP(AA35,weapon,2,FALSE)</f>
        <v>2.912</v>
      </c>
      <c r="AB36" s="53">
        <f>VLOOKUP(AB35,weapon,2,FALSE)</f>
        <v>2.912</v>
      </c>
      <c r="AC36" s="53"/>
      <c r="AD36" s="56"/>
      <c r="AE36" s="56"/>
      <c r="AF36" s="56"/>
      <c r="AG36" s="56"/>
      <c r="AH36" s="56"/>
      <c r="AI36" s="56"/>
      <c r="AJ36" s="56"/>
      <c r="AK36" s="56"/>
      <c r="AL36" s="56"/>
      <c r="AM36" s="56"/>
      <c r="AN36" s="56"/>
      <c r="AO36" s="56"/>
      <c r="AP36" s="56"/>
      <c r="AQ36" s="56"/>
      <c r="AR36" s="56"/>
      <c r="AS36" s="56"/>
      <c r="AT36" s="56"/>
      <c r="AU36" s="56"/>
      <c r="AV36" s="56"/>
      <c r="AW36" s="56"/>
      <c r="AX36" s="56"/>
      <c r="AY36" s="43"/>
      <c r="AZ36" s="43"/>
      <c r="BA36" s="43"/>
      <c r="BB36" s="43"/>
      <c r="BC36" s="43"/>
      <c r="BD36" s="43"/>
      <c r="BE36" s="43"/>
      <c r="BF36" s="43"/>
      <c r="BG36" s="43"/>
    </row>
    <row r="37" spans="3:59" ht="12.75">
      <c r="C37" s="42"/>
      <c r="D37" s="42"/>
      <c r="E37" s="5"/>
      <c r="F37" s="5"/>
      <c r="G37" s="7"/>
      <c r="H37" s="5"/>
      <c r="I37" s="5"/>
      <c r="J37" s="5"/>
      <c r="K37" s="5"/>
      <c r="L37" s="5"/>
      <c r="M37" s="5"/>
      <c r="N37" s="5"/>
      <c r="O37" s="5"/>
      <c r="P37" s="5"/>
      <c r="Q37" s="5"/>
      <c r="R37" s="5"/>
      <c r="S37" s="5"/>
      <c r="T37" s="5"/>
      <c r="U37" s="5"/>
      <c r="V37" s="5"/>
      <c r="W37" s="1"/>
      <c r="X37" s="43" t="s">
        <v>92</v>
      </c>
      <c r="Y37" s="43"/>
      <c r="Z37" s="43"/>
      <c r="AA37" s="43"/>
      <c r="AB37" s="43"/>
      <c r="AC37" s="43"/>
      <c r="AD37" s="43"/>
      <c r="AE37" s="43"/>
      <c r="AF37" s="43"/>
      <c r="AG37" s="43"/>
      <c r="AH37" s="43"/>
      <c r="AI37" s="43"/>
      <c r="AJ37" s="43"/>
      <c r="AK37" s="43"/>
      <c r="AL37" s="43"/>
      <c r="AM37" s="43"/>
      <c r="AN37" s="44"/>
      <c r="AO37" s="43"/>
      <c r="AP37" s="43"/>
      <c r="AQ37" s="43"/>
      <c r="AR37" s="43"/>
      <c r="AS37" s="43"/>
      <c r="AT37" s="43"/>
      <c r="AU37" s="43"/>
      <c r="AV37" s="43"/>
      <c r="AW37" s="43"/>
      <c r="AX37" s="43"/>
      <c r="AY37" s="43"/>
      <c r="AZ37" s="43"/>
      <c r="BA37" s="43"/>
      <c r="BB37" s="43"/>
      <c r="BC37" s="43"/>
      <c r="BD37" s="43"/>
      <c r="BE37" s="43"/>
      <c r="BF37" s="43"/>
      <c r="BG37" s="43"/>
    </row>
    <row r="38" spans="2:59" ht="12.75">
      <c r="B38" s="2" t="s">
        <v>92</v>
      </c>
      <c r="C38" s="1">
        <f>E38*(VLOOKUP(D38,Race,2,FALSE)*(N38*init_bonus+O38+P38*front+Q38*Back+R38+S38*armour+SUM(T38:V38))*(Thrust_base+(I38/J38)/Thrust_div)*POWER(W38,Weapon_power))/(POWER(signature,(L38-M38)))*IF(K38="Y",gravitic,1)*IF(H38="Y",agile,1)/divisor</f>
        <v>5.27568533108126</v>
      </c>
      <c r="D38" s="1" t="s">
        <v>494</v>
      </c>
      <c r="E38" s="52">
        <v>1</v>
      </c>
      <c r="F38" s="52">
        <v>0</v>
      </c>
      <c r="G38" s="1">
        <v>0</v>
      </c>
      <c r="H38" s="52" t="s">
        <v>2</v>
      </c>
      <c r="I38" s="52">
        <v>11</v>
      </c>
      <c r="J38" s="52">
        <v>1</v>
      </c>
      <c r="K38" s="52" t="s">
        <v>21</v>
      </c>
      <c r="L38" s="52">
        <v>-4</v>
      </c>
      <c r="M38" s="52">
        <v>3</v>
      </c>
      <c r="N38" s="52">
        <v>17</v>
      </c>
      <c r="O38" s="52">
        <v>5</v>
      </c>
      <c r="P38" s="52">
        <v>0</v>
      </c>
      <c r="Q38" s="52">
        <v>0</v>
      </c>
      <c r="R38" s="52">
        <v>0</v>
      </c>
      <c r="S38" s="52">
        <v>0</v>
      </c>
      <c r="T38" s="52"/>
      <c r="U38" s="52"/>
      <c r="V38" s="52"/>
      <c r="W38" s="1">
        <f>SUM(X38:BD38)*(num_weapons_base+num_weapons_mod*COUNT(X38:BD38))</f>
        <v>4.826250000000001</v>
      </c>
      <c r="X38" s="53">
        <f>VLOOKUP(X37,weapon,2,FALSE)</f>
        <v>4.826250000000001</v>
      </c>
      <c r="Y38" s="53"/>
      <c r="Z38" s="53"/>
      <c r="AA38" s="53"/>
      <c r="AB38" s="53"/>
      <c r="AC38" s="53"/>
      <c r="AD38" s="56"/>
      <c r="AE38" s="56"/>
      <c r="AF38" s="56"/>
      <c r="AG38" s="56"/>
      <c r="AH38" s="56"/>
      <c r="AI38" s="56"/>
      <c r="AJ38" s="56"/>
      <c r="AK38" s="56"/>
      <c r="AL38" s="56"/>
      <c r="AM38" s="56"/>
      <c r="AN38" s="56"/>
      <c r="AO38" s="56"/>
      <c r="AP38" s="56"/>
      <c r="AQ38" s="56"/>
      <c r="AR38" s="56"/>
      <c r="AS38" s="56"/>
      <c r="AT38" s="56"/>
      <c r="AU38" s="56"/>
      <c r="AV38" s="56"/>
      <c r="AW38" s="56"/>
      <c r="AX38" s="56"/>
      <c r="AY38" s="43"/>
      <c r="AZ38" s="43"/>
      <c r="BA38" s="43"/>
      <c r="BB38" s="43"/>
      <c r="BC38" s="43"/>
      <c r="BD38" s="43"/>
      <c r="BE38" s="43"/>
      <c r="BF38" s="43"/>
      <c r="BG38" s="43"/>
    </row>
    <row r="39" spans="3:59" ht="12.75">
      <c r="C39" s="42"/>
      <c r="D39" s="42"/>
      <c r="E39" s="5"/>
      <c r="F39" s="5"/>
      <c r="G39" s="7"/>
      <c r="H39" s="5"/>
      <c r="I39" s="5"/>
      <c r="J39" s="5"/>
      <c r="K39" s="5"/>
      <c r="L39" s="5"/>
      <c r="M39" s="5"/>
      <c r="N39" s="5"/>
      <c r="O39" s="5"/>
      <c r="P39" s="5"/>
      <c r="Q39" s="5"/>
      <c r="R39" s="5"/>
      <c r="S39" s="5"/>
      <c r="T39" s="5"/>
      <c r="U39" s="5"/>
      <c r="V39" s="5"/>
      <c r="W39" s="1"/>
      <c r="X39" s="43" t="s">
        <v>90</v>
      </c>
      <c r="Y39" s="43"/>
      <c r="Z39" s="43"/>
      <c r="AA39" s="43"/>
      <c r="AB39" s="43"/>
      <c r="AC39" s="43"/>
      <c r="AD39" s="43"/>
      <c r="AE39" s="43"/>
      <c r="AF39" s="43"/>
      <c r="AG39" s="43"/>
      <c r="AH39" s="43"/>
      <c r="AI39" s="43"/>
      <c r="AJ39" s="43"/>
      <c r="AK39" s="43"/>
      <c r="AL39" s="43"/>
      <c r="AM39" s="43"/>
      <c r="AN39" s="44"/>
      <c r="AO39" s="43"/>
      <c r="AP39" s="43"/>
      <c r="AQ39" s="43"/>
      <c r="AR39" s="43"/>
      <c r="AS39" s="43"/>
      <c r="AT39" s="43"/>
      <c r="AU39" s="43"/>
      <c r="AV39" s="43"/>
      <c r="AW39" s="43"/>
      <c r="AX39" s="43"/>
      <c r="AY39" s="43"/>
      <c r="AZ39" s="43"/>
      <c r="BA39" s="43"/>
      <c r="BB39" s="43"/>
      <c r="BC39" s="43"/>
      <c r="BD39" s="43"/>
      <c r="BE39" s="43"/>
      <c r="BF39" s="43"/>
      <c r="BG39" s="43"/>
    </row>
    <row r="40" spans="2:59" ht="12.75">
      <c r="B40" s="2" t="s">
        <v>90</v>
      </c>
      <c r="C40" s="1">
        <f>E40*(VLOOKUP(D40,Race,2,FALSE)*(N40*init_bonus+O40+P40*front+Q40*Back+R40+S40*armour+SUM(T40:V40))*(Thrust_base+(I40/J40)/Thrust_div)*POWER(W40,Weapon_power))/(POWER(signature,(L40-M40)))*IF(K40="Y",gravitic,1)*IF(H40="Y",agile,1)/divisor</f>
        <v>2.7425342702095308</v>
      </c>
      <c r="D40" s="1" t="s">
        <v>494</v>
      </c>
      <c r="E40" s="52">
        <v>1</v>
      </c>
      <c r="F40" s="52">
        <v>0</v>
      </c>
      <c r="G40" s="1">
        <v>0</v>
      </c>
      <c r="H40" s="52" t="s">
        <v>2</v>
      </c>
      <c r="I40" s="52">
        <v>12</v>
      </c>
      <c r="J40" s="52">
        <v>1</v>
      </c>
      <c r="K40" s="52" t="s">
        <v>21</v>
      </c>
      <c r="L40" s="52">
        <v>-5</v>
      </c>
      <c r="M40" s="52">
        <v>2</v>
      </c>
      <c r="N40" s="52">
        <v>16</v>
      </c>
      <c r="O40" s="52">
        <v>4</v>
      </c>
      <c r="P40" s="52">
        <v>0</v>
      </c>
      <c r="Q40" s="52">
        <v>0</v>
      </c>
      <c r="R40" s="52">
        <v>0</v>
      </c>
      <c r="S40" s="52">
        <v>0</v>
      </c>
      <c r="T40" s="52"/>
      <c r="U40" s="52"/>
      <c r="V40" s="52"/>
      <c r="W40" s="1">
        <f>SUM(X40:BD40)*(num_weapons_base+num_weapons_mod*COUNT(X40:BD40))</f>
        <v>2.6812500000000004</v>
      </c>
      <c r="X40" s="53">
        <f>VLOOKUP(X39,weapon,2,FALSE)</f>
        <v>2.6812500000000004</v>
      </c>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43"/>
      <c r="AZ40" s="43"/>
      <c r="BA40" s="43"/>
      <c r="BB40" s="43"/>
      <c r="BC40" s="43"/>
      <c r="BD40" s="43"/>
      <c r="BE40" s="43"/>
      <c r="BF40" s="43"/>
      <c r="BG40" s="43"/>
    </row>
    <row r="41" spans="3:59" ht="12.75">
      <c r="C41" s="42"/>
      <c r="D41" s="42"/>
      <c r="E41" s="5"/>
      <c r="F41" s="5"/>
      <c r="G41" s="7"/>
      <c r="H41" s="5"/>
      <c r="I41" s="5"/>
      <c r="J41" s="5"/>
      <c r="K41" s="5"/>
      <c r="L41" s="5"/>
      <c r="M41" s="5"/>
      <c r="N41" s="5"/>
      <c r="O41" s="5"/>
      <c r="P41" s="5"/>
      <c r="Q41" s="5"/>
      <c r="R41" s="5"/>
      <c r="S41" s="5"/>
      <c r="T41" s="5"/>
      <c r="U41" s="5"/>
      <c r="V41" s="5"/>
      <c r="W41" s="1"/>
      <c r="X41" s="43" t="s">
        <v>89</v>
      </c>
      <c r="Y41" s="43" t="s">
        <v>71</v>
      </c>
      <c r="Z41" s="43" t="s">
        <v>110</v>
      </c>
      <c r="AA41" s="43" t="s">
        <v>110</v>
      </c>
      <c r="AB41" s="43"/>
      <c r="AC41" s="43"/>
      <c r="AD41" s="43"/>
      <c r="AE41" s="43"/>
      <c r="AF41" s="43"/>
      <c r="AG41" s="43"/>
      <c r="AH41" s="43"/>
      <c r="AI41" s="43"/>
      <c r="AJ41" s="43"/>
      <c r="AK41" s="43"/>
      <c r="AL41" s="43"/>
      <c r="AM41" s="43"/>
      <c r="AN41" s="44"/>
      <c r="AO41" s="43"/>
      <c r="AP41" s="43"/>
      <c r="AQ41" s="43"/>
      <c r="AR41" s="43"/>
      <c r="AS41" s="43"/>
      <c r="AT41" s="43"/>
      <c r="AU41" s="43"/>
      <c r="AV41" s="43"/>
      <c r="AW41" s="43"/>
      <c r="AX41" s="43"/>
      <c r="AY41" s="43"/>
      <c r="AZ41" s="43"/>
      <c r="BA41" s="43"/>
      <c r="BB41" s="43"/>
      <c r="BC41" s="43"/>
      <c r="BD41" s="43"/>
      <c r="BE41" s="43"/>
      <c r="BF41" s="43"/>
      <c r="BG41" s="43"/>
    </row>
    <row r="42" spans="2:59" ht="12.75">
      <c r="B42" s="2" t="s">
        <v>72</v>
      </c>
      <c r="C42" s="1">
        <f>E42*(VLOOKUP(D42,Race,2,FALSE)*(N42*init_bonus+O42+P42*front+Q42*Back+R42+S42*armour+SUM(T42:V42))*(Thrust_base+(I42/J42)/Thrust_div)*POWER(W42,Weapon_power))/(POWER(signature,(L42-M42)))*IF(K42="Y",gravitic,1)*IF(H42="Y",agile,1)/divisor</f>
        <v>11.829648260462868</v>
      </c>
      <c r="D42" s="1" t="s">
        <v>494</v>
      </c>
      <c r="E42" s="52">
        <v>1</v>
      </c>
      <c r="F42" s="52">
        <v>0</v>
      </c>
      <c r="G42" s="1">
        <v>0</v>
      </c>
      <c r="H42" s="52" t="s">
        <v>2</v>
      </c>
      <c r="I42" s="52">
        <v>10</v>
      </c>
      <c r="J42" s="52">
        <v>1</v>
      </c>
      <c r="K42" s="52" t="s">
        <v>21</v>
      </c>
      <c r="L42" s="52">
        <v>-3</v>
      </c>
      <c r="M42" s="52">
        <v>2</v>
      </c>
      <c r="N42" s="52">
        <v>17</v>
      </c>
      <c r="O42" s="52">
        <v>5</v>
      </c>
      <c r="P42" s="52">
        <v>0</v>
      </c>
      <c r="Q42" s="52">
        <v>0</v>
      </c>
      <c r="R42" s="52">
        <v>0</v>
      </c>
      <c r="S42" s="52">
        <v>0</v>
      </c>
      <c r="T42" s="52"/>
      <c r="U42" s="52"/>
      <c r="V42" s="52"/>
      <c r="W42" s="1">
        <f>SUM(X42:BD42)*(num_weapons_base+num_weapons_mod*COUNT(X42:BD42))</f>
        <v>12.2486</v>
      </c>
      <c r="X42" s="53">
        <f>VLOOKUP(X41,weapon,2,FALSE)</f>
        <v>2.6812500000000004</v>
      </c>
      <c r="Y42" s="53">
        <f>VLOOKUP(Y41,weapon,2,FALSE)</f>
        <v>2.4310000000000005</v>
      </c>
      <c r="Z42" s="53">
        <f>VLOOKUP(Z41,weapon,2,FALSE)</f>
        <v>2.912</v>
      </c>
      <c r="AA42" s="53">
        <f>VLOOKUP(AA41,weapon,2,FALSE)</f>
        <v>2.912</v>
      </c>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43"/>
      <c r="AZ42" s="43"/>
      <c r="BA42" s="43"/>
      <c r="BB42" s="43"/>
      <c r="BC42" s="43"/>
      <c r="BD42" s="43"/>
      <c r="BE42" s="43"/>
      <c r="BF42" s="43"/>
      <c r="BG42" s="43"/>
    </row>
    <row r="43" spans="1:59" s="191" customFormat="1" ht="12.75">
      <c r="A43" s="189" t="s">
        <v>508</v>
      </c>
      <c r="C43" s="42"/>
      <c r="D43" s="192"/>
      <c r="E43" s="198"/>
      <c r="F43" s="198"/>
      <c r="G43" s="125"/>
      <c r="H43" s="198"/>
      <c r="I43" s="198"/>
      <c r="J43" s="198"/>
      <c r="K43" s="198"/>
      <c r="L43" s="198"/>
      <c r="M43" s="198"/>
      <c r="N43" s="198"/>
      <c r="O43" s="198"/>
      <c r="P43" s="198"/>
      <c r="Q43" s="198"/>
      <c r="R43" s="198"/>
      <c r="S43" s="198"/>
      <c r="T43" s="198"/>
      <c r="U43" s="198"/>
      <c r="V43" s="198"/>
      <c r="W43" s="190"/>
      <c r="X43" s="196"/>
      <c r="Y43" s="196"/>
      <c r="Z43" s="196"/>
      <c r="AA43" s="196"/>
      <c r="AB43" s="196"/>
      <c r="AC43" s="196"/>
      <c r="AD43" s="196"/>
      <c r="AE43" s="196"/>
      <c r="AF43" s="196"/>
      <c r="AG43" s="196"/>
      <c r="AH43" s="196"/>
      <c r="AI43" s="196"/>
      <c r="AJ43" s="196"/>
      <c r="AK43" s="196"/>
      <c r="AL43" s="196"/>
      <c r="AM43" s="196"/>
      <c r="AN43" s="198"/>
      <c r="AO43" s="196"/>
      <c r="AP43" s="196"/>
      <c r="AQ43" s="196"/>
      <c r="AR43" s="196"/>
      <c r="AS43" s="196"/>
      <c r="AT43" s="196"/>
      <c r="AU43" s="196"/>
      <c r="AV43" s="196"/>
      <c r="AW43" s="196"/>
      <c r="AX43" s="196"/>
      <c r="AY43" s="196"/>
      <c r="AZ43" s="196"/>
      <c r="BA43" s="196"/>
      <c r="BB43" s="196"/>
      <c r="BC43" s="196"/>
      <c r="BD43" s="196"/>
      <c r="BE43" s="196"/>
      <c r="BF43" s="196"/>
      <c r="BG43" s="196"/>
    </row>
    <row r="44" spans="2:59" s="191" customFormat="1" ht="12.75">
      <c r="B44" s="189"/>
      <c r="C44" s="1" t="e">
        <f>E44*(VLOOKUP(D44,Race,2,FALSE)*(N44*init_bonus+O44+P44*front+Q44*Back+R44+S44*armour+SUM(T44:V44))*(Thrust_base+(I44/J44)/Thrust_div)*POWER(W44,Weapon_power))/(POWER(signature,(L44-M44)))*IF(K44="Y",gravitic,1)*IF(H44="Y",agile,1)/divisor</f>
        <v>#N/A</v>
      </c>
      <c r="D44" s="198"/>
      <c r="E44" s="198"/>
      <c r="F44" s="198"/>
      <c r="G44" s="125"/>
      <c r="H44" s="198"/>
      <c r="I44" s="198"/>
      <c r="J44" s="198"/>
      <c r="K44" s="198"/>
      <c r="L44" s="198"/>
      <c r="M44" s="198"/>
      <c r="N44" s="198"/>
      <c r="O44" s="198"/>
      <c r="P44" s="198"/>
      <c r="Q44" s="198"/>
      <c r="R44" s="198"/>
      <c r="S44" s="198"/>
      <c r="T44" s="198"/>
      <c r="U44" s="198"/>
      <c r="V44" s="198"/>
      <c r="W44" s="190">
        <f>SUM(X44:BD44)*(num_weapons_base+num_weapons_mod*COUNT(X44:BD44))</f>
        <v>0</v>
      </c>
      <c r="X44" s="196"/>
      <c r="Y44" s="196"/>
      <c r="Z44" s="196"/>
      <c r="AA44" s="196"/>
      <c r="AB44" s="196"/>
      <c r="AC44" s="196"/>
      <c r="AD44" s="196"/>
      <c r="AE44" s="196"/>
      <c r="AF44" s="196"/>
      <c r="AG44" s="196"/>
      <c r="AH44" s="196"/>
      <c r="AI44" s="196"/>
      <c r="AJ44" s="196"/>
      <c r="AK44" s="196"/>
      <c r="AL44" s="196"/>
      <c r="AM44" s="196"/>
      <c r="AN44" s="198"/>
      <c r="AO44" s="196"/>
      <c r="AP44" s="196"/>
      <c r="AQ44" s="196"/>
      <c r="AR44" s="196"/>
      <c r="AS44" s="196"/>
      <c r="AT44" s="196"/>
      <c r="AU44" s="196"/>
      <c r="AV44" s="196"/>
      <c r="AW44" s="196"/>
      <c r="AX44" s="196"/>
      <c r="AY44" s="196"/>
      <c r="AZ44" s="196"/>
      <c r="BA44" s="196"/>
      <c r="BB44" s="196"/>
      <c r="BC44" s="196"/>
      <c r="BD44" s="196"/>
      <c r="BE44" s="196"/>
      <c r="BF44" s="196"/>
      <c r="BG44" s="196"/>
    </row>
    <row r="45" spans="1:59" s="191" customFormat="1" ht="12.75">
      <c r="A45" s="141"/>
      <c r="B45" s="218"/>
      <c r="C45" s="42"/>
      <c r="D45" s="214"/>
      <c r="E45" s="214"/>
      <c r="F45" s="214"/>
      <c r="G45" s="139"/>
      <c r="H45" s="214"/>
      <c r="I45" s="214"/>
      <c r="J45" s="214"/>
      <c r="K45" s="214"/>
      <c r="L45" s="214"/>
      <c r="M45" s="214"/>
      <c r="N45" s="214"/>
      <c r="O45" s="214"/>
      <c r="P45" s="214"/>
      <c r="Q45" s="214"/>
      <c r="R45" s="214"/>
      <c r="S45" s="214"/>
      <c r="T45" s="214"/>
      <c r="U45" s="214"/>
      <c r="V45" s="214"/>
      <c r="W45" s="216"/>
      <c r="X45" s="43" t="s">
        <v>273</v>
      </c>
      <c r="Y45" s="43" t="s">
        <v>273</v>
      </c>
      <c r="Z45" s="43" t="s">
        <v>273</v>
      </c>
      <c r="AA45" s="43" t="s">
        <v>273</v>
      </c>
      <c r="AB45" s="43" t="s">
        <v>273</v>
      </c>
      <c r="AC45" s="43" t="s">
        <v>273</v>
      </c>
      <c r="AD45" s="43" t="s">
        <v>273</v>
      </c>
      <c r="AE45" s="43" t="s">
        <v>273</v>
      </c>
      <c r="AF45" s="43" t="s">
        <v>273</v>
      </c>
      <c r="AG45" s="43" t="s">
        <v>273</v>
      </c>
      <c r="AH45" s="43" t="s">
        <v>273</v>
      </c>
      <c r="AI45" s="43" t="s">
        <v>233</v>
      </c>
      <c r="AJ45" s="43" t="s">
        <v>233</v>
      </c>
      <c r="AK45" s="43"/>
      <c r="AL45" s="43"/>
      <c r="AM45" s="43"/>
      <c r="AN45" s="44"/>
      <c r="AO45" s="43"/>
      <c r="AP45" s="43"/>
      <c r="AQ45" s="43"/>
      <c r="AR45" s="43"/>
      <c r="AS45" s="43"/>
      <c r="AT45" s="43"/>
      <c r="AU45" s="43"/>
      <c r="AV45" s="43"/>
      <c r="AW45" s="43"/>
      <c r="AX45" s="43"/>
      <c r="AY45" s="43"/>
      <c r="AZ45" s="43"/>
      <c r="BA45" s="43"/>
      <c r="BB45" s="43"/>
      <c r="BC45" s="43"/>
      <c r="BD45" s="43"/>
      <c r="BE45" s="43"/>
      <c r="BF45" s="43"/>
      <c r="BG45" s="43"/>
    </row>
    <row r="46" spans="2:59" ht="12.75">
      <c r="B46" s="2" t="s">
        <v>509</v>
      </c>
      <c r="C46" s="1">
        <f>E46*(VLOOKUP(D46,Race,2,FALSE)*(N46*init_bonus+O46+P46*front+Q46*Back+R46+S46*armour+SUM(T46:V46))*(Thrust_base+(I46/J46)/Thrust_div)*POWER(W46,Weapon_power))/(POWER(signature,(L46-M46)))*IF(K46="Y",gravitic,1)*IF(H46="Y",agile,1)/divisor</f>
        <v>762.2907457200167</v>
      </c>
      <c r="D46" s="1" t="s">
        <v>508</v>
      </c>
      <c r="E46" s="52">
        <f>ROUND(1.4*POWER(1.03,(15-$L46)),1)</f>
        <v>1.6</v>
      </c>
      <c r="F46" s="52"/>
      <c r="G46" s="1">
        <v>0</v>
      </c>
      <c r="H46" s="52" t="s">
        <v>21</v>
      </c>
      <c r="I46" s="52">
        <v>10</v>
      </c>
      <c r="J46" s="52">
        <v>3</v>
      </c>
      <c r="K46" s="52" t="s">
        <v>2</v>
      </c>
      <c r="L46" s="52">
        <v>10</v>
      </c>
      <c r="M46" s="52">
        <v>8</v>
      </c>
      <c r="N46" s="52">
        <v>7</v>
      </c>
      <c r="O46" s="52">
        <v>60</v>
      </c>
      <c r="P46" s="52">
        <v>60</v>
      </c>
      <c r="Q46" s="52">
        <v>56</v>
      </c>
      <c r="R46" s="52">
        <v>0</v>
      </c>
      <c r="S46" s="52">
        <v>4</v>
      </c>
      <c r="T46" s="52"/>
      <c r="U46" s="52"/>
      <c r="V46" s="52"/>
      <c r="W46" s="1">
        <f>SUM(X46:BD46)*(num_weapons_base+num_weapons_mod*COUNT(X46:BD46))</f>
        <v>293.2144285714285</v>
      </c>
      <c r="X46" s="53">
        <f aca="true" t="shared" si="14" ref="X46:AJ46">VLOOKUP(X45,weapon,2,FALSE)</f>
        <v>17.325000000000003</v>
      </c>
      <c r="Y46" s="53">
        <f t="shared" si="14"/>
        <v>17.325000000000003</v>
      </c>
      <c r="Z46" s="53">
        <f t="shared" si="14"/>
        <v>17.325000000000003</v>
      </c>
      <c r="AA46" s="53">
        <f t="shared" si="14"/>
        <v>17.325000000000003</v>
      </c>
      <c r="AB46" s="53">
        <f t="shared" si="14"/>
        <v>17.325000000000003</v>
      </c>
      <c r="AC46" s="53">
        <f t="shared" si="14"/>
        <v>17.325000000000003</v>
      </c>
      <c r="AD46" s="53">
        <f t="shared" si="14"/>
        <v>17.325000000000003</v>
      </c>
      <c r="AE46" s="53">
        <f t="shared" si="14"/>
        <v>17.325000000000003</v>
      </c>
      <c r="AF46" s="53">
        <f t="shared" si="14"/>
        <v>17.325000000000003</v>
      </c>
      <c r="AG46" s="53">
        <f t="shared" si="14"/>
        <v>17.325000000000003</v>
      </c>
      <c r="AH46" s="53">
        <f t="shared" si="14"/>
        <v>17.325000000000003</v>
      </c>
      <c r="AI46" s="53">
        <f t="shared" si="14"/>
        <v>3.771428571428572</v>
      </c>
      <c r="AJ46" s="53">
        <f t="shared" si="14"/>
        <v>3.771428571428572</v>
      </c>
      <c r="AK46" s="53"/>
      <c r="AL46" s="53"/>
      <c r="AM46" s="53"/>
      <c r="AN46" s="53"/>
      <c r="AO46" s="53"/>
      <c r="AP46" s="53"/>
      <c r="AQ46" s="53"/>
      <c r="AR46" s="53"/>
      <c r="AS46" s="53"/>
      <c r="AT46" s="53"/>
      <c r="AU46" s="53"/>
      <c r="AV46" s="53"/>
      <c r="AW46" s="53"/>
      <c r="AX46" s="53"/>
      <c r="AY46" s="43"/>
      <c r="AZ46" s="43"/>
      <c r="BA46" s="43"/>
      <c r="BB46" s="43"/>
      <c r="BC46" s="43"/>
      <c r="BD46" s="43"/>
      <c r="BE46" s="43"/>
      <c r="BF46" s="43"/>
      <c r="BG46" s="43"/>
    </row>
    <row r="47" spans="3:59" ht="12.75">
      <c r="C47" s="42"/>
      <c r="D47" s="42"/>
      <c r="E47" s="5"/>
      <c r="F47" s="5"/>
      <c r="G47" s="7"/>
      <c r="H47" s="5"/>
      <c r="I47" s="5"/>
      <c r="J47" s="5"/>
      <c r="K47" s="5"/>
      <c r="L47" s="5"/>
      <c r="M47" s="5"/>
      <c r="N47" s="5"/>
      <c r="O47" s="5"/>
      <c r="P47" s="5"/>
      <c r="Q47" s="5"/>
      <c r="R47" s="5"/>
      <c r="S47" s="5"/>
      <c r="T47" s="5"/>
      <c r="U47" s="5"/>
      <c r="V47" s="5"/>
      <c r="W47" s="1"/>
      <c r="X47" s="43" t="s">
        <v>430</v>
      </c>
      <c r="Y47" s="43" t="s">
        <v>430</v>
      </c>
      <c r="Z47" s="43" t="s">
        <v>430</v>
      </c>
      <c r="AA47" s="43" t="s">
        <v>430</v>
      </c>
      <c r="AB47" s="43" t="s">
        <v>430</v>
      </c>
      <c r="AC47" s="43" t="s">
        <v>430</v>
      </c>
      <c r="AD47" s="43" t="s">
        <v>273</v>
      </c>
      <c r="AE47" s="43" t="s">
        <v>273</v>
      </c>
      <c r="AF47" s="43" t="s">
        <v>273</v>
      </c>
      <c r="AG47" s="43" t="s">
        <v>273</v>
      </c>
      <c r="AH47" s="43" t="s">
        <v>273</v>
      </c>
      <c r="AI47" s="43" t="s">
        <v>273</v>
      </c>
      <c r="AJ47" s="43" t="s">
        <v>273</v>
      </c>
      <c r="AK47" s="43" t="s">
        <v>273</v>
      </c>
      <c r="AL47" s="43" t="s">
        <v>273</v>
      </c>
      <c r="AM47" s="43" t="s">
        <v>273</v>
      </c>
      <c r="AN47" s="43" t="s">
        <v>273</v>
      </c>
      <c r="AO47" s="43" t="s">
        <v>273</v>
      </c>
      <c r="AP47" s="43" t="s">
        <v>273</v>
      </c>
      <c r="AQ47" s="43" t="s">
        <v>273</v>
      </c>
      <c r="AR47" s="43" t="s">
        <v>273</v>
      </c>
      <c r="AS47" s="43" t="s">
        <v>273</v>
      </c>
      <c r="AT47" s="43" t="s">
        <v>273</v>
      </c>
      <c r="AU47" s="43" t="s">
        <v>273</v>
      </c>
      <c r="AV47" s="43" t="s">
        <v>273</v>
      </c>
      <c r="AW47" s="43" t="s">
        <v>233</v>
      </c>
      <c r="AX47" s="43"/>
      <c r="AY47" s="43"/>
      <c r="AZ47" s="43"/>
      <c r="BA47" s="43"/>
      <c r="BB47" s="43"/>
      <c r="BC47" s="43"/>
      <c r="BD47" s="43"/>
      <c r="BE47" s="43"/>
      <c r="BF47" s="43"/>
      <c r="BG47" s="43"/>
    </row>
    <row r="48" spans="2:59" ht="12.75">
      <c r="B48" s="2" t="s">
        <v>510</v>
      </c>
      <c r="C48" s="1">
        <f>E48*(VLOOKUP(D48,Race,2,FALSE)*(N48*init_bonus+O48+P48*front+Q48*Back+R48+S48*armour+SUM(T48:V48))*(Thrust_base+(I48/J48)/Thrust_div)*POWER(W48,Weapon_power))/(POWER(signature,(L48-M48)))*IF(K48="Y",gravitic,1)*IF(H48="Y",agile,1)/divisor</f>
        <v>4867.490417189188</v>
      </c>
      <c r="D48" s="1" t="s">
        <v>508</v>
      </c>
      <c r="E48" s="52">
        <f>ROUND(1.4*POWER(1.03,(15-$L48)),1)</f>
        <v>1.4</v>
      </c>
      <c r="F48" s="52">
        <v>24</v>
      </c>
      <c r="G48" s="1">
        <f>F48*C72</f>
        <v>668.3101238743375</v>
      </c>
      <c r="H48" s="52" t="s">
        <v>21</v>
      </c>
      <c r="I48" s="52">
        <v>15</v>
      </c>
      <c r="J48" s="52">
        <v>5</v>
      </c>
      <c r="K48" s="52" t="s">
        <v>2</v>
      </c>
      <c r="L48" s="52">
        <v>16</v>
      </c>
      <c r="M48" s="52">
        <v>14</v>
      </c>
      <c r="N48" s="52">
        <v>1</v>
      </c>
      <c r="O48" s="52">
        <v>80</v>
      </c>
      <c r="P48" s="52">
        <v>70</v>
      </c>
      <c r="Q48" s="52">
        <v>70</v>
      </c>
      <c r="R48" s="52">
        <v>96</v>
      </c>
      <c r="S48" s="52">
        <v>5.25</v>
      </c>
      <c r="T48" s="52"/>
      <c r="U48" s="52"/>
      <c r="V48" s="52"/>
      <c r="W48" s="1">
        <f>SUM(X48:BD48)*(num_weapons_base+num_weapons_mod*COUNT(X48:BD48))</f>
        <v>1248.5108212147138</v>
      </c>
      <c r="X48" s="53">
        <f aca="true" t="shared" si="15" ref="X48:AW48">VLOOKUP(X47,weapon,2,FALSE)</f>
        <v>48.55149700598803</v>
      </c>
      <c r="Y48" s="53">
        <f t="shared" si="15"/>
        <v>48.55149700598803</v>
      </c>
      <c r="Z48" s="53">
        <f t="shared" si="15"/>
        <v>48.55149700598803</v>
      </c>
      <c r="AA48" s="53">
        <f t="shared" si="15"/>
        <v>48.55149700598803</v>
      </c>
      <c r="AB48" s="53">
        <f t="shared" si="15"/>
        <v>48.55149700598803</v>
      </c>
      <c r="AC48" s="53">
        <f t="shared" si="15"/>
        <v>48.55149700598803</v>
      </c>
      <c r="AD48" s="53">
        <f t="shared" si="15"/>
        <v>17.325000000000003</v>
      </c>
      <c r="AE48" s="53">
        <f t="shared" si="15"/>
        <v>17.325000000000003</v>
      </c>
      <c r="AF48" s="53">
        <f t="shared" si="15"/>
        <v>17.325000000000003</v>
      </c>
      <c r="AG48" s="53">
        <f t="shared" si="15"/>
        <v>17.325000000000003</v>
      </c>
      <c r="AH48" s="53">
        <f t="shared" si="15"/>
        <v>17.325000000000003</v>
      </c>
      <c r="AI48" s="53">
        <f t="shared" si="15"/>
        <v>17.325000000000003</v>
      </c>
      <c r="AJ48" s="53">
        <f t="shared" si="15"/>
        <v>17.325000000000003</v>
      </c>
      <c r="AK48" s="53">
        <f t="shared" si="15"/>
        <v>17.325000000000003</v>
      </c>
      <c r="AL48" s="53">
        <f t="shared" si="15"/>
        <v>17.325000000000003</v>
      </c>
      <c r="AM48" s="53">
        <f t="shared" si="15"/>
        <v>17.325000000000003</v>
      </c>
      <c r="AN48" s="53">
        <f t="shared" si="15"/>
        <v>17.325000000000003</v>
      </c>
      <c r="AO48" s="53">
        <f t="shared" si="15"/>
        <v>17.325000000000003</v>
      </c>
      <c r="AP48" s="53">
        <f t="shared" si="15"/>
        <v>17.325000000000003</v>
      </c>
      <c r="AQ48" s="53">
        <f t="shared" si="15"/>
        <v>17.325000000000003</v>
      </c>
      <c r="AR48" s="53">
        <f t="shared" si="15"/>
        <v>17.325000000000003</v>
      </c>
      <c r="AS48" s="53">
        <f t="shared" si="15"/>
        <v>17.325000000000003</v>
      </c>
      <c r="AT48" s="53">
        <f t="shared" si="15"/>
        <v>17.325000000000003</v>
      </c>
      <c r="AU48" s="53">
        <f t="shared" si="15"/>
        <v>17.325000000000003</v>
      </c>
      <c r="AV48" s="53">
        <f t="shared" si="15"/>
        <v>17.325000000000003</v>
      </c>
      <c r="AW48" s="53">
        <f t="shared" si="15"/>
        <v>3.771428571428572</v>
      </c>
      <c r="AX48" s="53"/>
      <c r="AY48" s="43"/>
      <c r="AZ48" s="43"/>
      <c r="BA48" s="43"/>
      <c r="BB48" s="43"/>
      <c r="BC48" s="43"/>
      <c r="BD48" s="43"/>
      <c r="BE48" s="43"/>
      <c r="BF48" s="43"/>
      <c r="BG48" s="43"/>
    </row>
    <row r="49" spans="2:59" ht="12.75">
      <c r="B49" s="2"/>
      <c r="C49" s="42"/>
      <c r="D49" s="42"/>
      <c r="E49" s="5"/>
      <c r="F49" s="5"/>
      <c r="G49" s="7"/>
      <c r="H49" s="5"/>
      <c r="I49" s="5"/>
      <c r="J49" s="5"/>
      <c r="K49" s="5"/>
      <c r="L49" s="5"/>
      <c r="M49" s="5"/>
      <c r="N49" s="5"/>
      <c r="O49" s="5"/>
      <c r="P49" s="5"/>
      <c r="Q49" s="5"/>
      <c r="R49" s="5"/>
      <c r="S49" s="5"/>
      <c r="T49" s="5"/>
      <c r="U49" s="5"/>
      <c r="V49" s="5"/>
      <c r="W49" s="1"/>
      <c r="X49" s="43" t="s">
        <v>273</v>
      </c>
      <c r="Y49" s="43" t="s">
        <v>273</v>
      </c>
      <c r="Z49" s="43" t="s">
        <v>273</v>
      </c>
      <c r="AA49" s="43" t="s">
        <v>273</v>
      </c>
      <c r="AB49" s="43" t="s">
        <v>273</v>
      </c>
      <c r="AC49" s="43" t="s">
        <v>273</v>
      </c>
      <c r="AD49" s="43" t="s">
        <v>233</v>
      </c>
      <c r="AE49" s="43" t="s">
        <v>233</v>
      </c>
      <c r="AF49" s="43" t="s">
        <v>233</v>
      </c>
      <c r="AG49" s="43" t="s">
        <v>233</v>
      </c>
      <c r="AH49" s="43" t="s">
        <v>233</v>
      </c>
      <c r="AI49" s="43"/>
      <c r="AJ49" s="43"/>
      <c r="AK49" s="43"/>
      <c r="AL49" s="43"/>
      <c r="AM49" s="43"/>
      <c r="AN49" s="44"/>
      <c r="AO49" s="43"/>
      <c r="AP49" s="43"/>
      <c r="AQ49" s="43"/>
      <c r="AR49" s="43"/>
      <c r="AS49" s="43"/>
      <c r="AT49" s="43"/>
      <c r="AU49" s="43"/>
      <c r="AV49" s="43"/>
      <c r="AW49" s="43"/>
      <c r="AX49" s="43"/>
      <c r="AY49" s="43"/>
      <c r="AZ49" s="43"/>
      <c r="BA49" s="43"/>
      <c r="BB49" s="43"/>
      <c r="BC49" s="43"/>
      <c r="BD49" s="43"/>
      <c r="BE49" s="43"/>
      <c r="BF49" s="43"/>
      <c r="BG49" s="43"/>
    </row>
    <row r="50" spans="2:59" ht="12.75">
      <c r="B50" s="2" t="s">
        <v>511</v>
      </c>
      <c r="C50" s="1">
        <f>E50*(VLOOKUP(D50,Race,2,FALSE)*(N50*init_bonus+O50+P50*front+Q50*Back+R50+S50*armour+SUM(T50:V50))*(Thrust_base+(I50/J50)/Thrust_div)*POWER(W50,Weapon_power))/(POWER(signature,(L50-M50)))*IF(K50="Y",gravitic,1)*IF(H50="Y",agile,1)/divisor</f>
        <v>283.39343516729275</v>
      </c>
      <c r="D50" s="1" t="s">
        <v>508</v>
      </c>
      <c r="E50" s="52">
        <f>ROUND(1.4*POWER(1.03,(15-$L50)),1)</f>
        <v>1.4</v>
      </c>
      <c r="F50" s="52">
        <v>32</v>
      </c>
      <c r="G50" s="1">
        <f>8*C72</f>
        <v>222.7700412914458</v>
      </c>
      <c r="H50" s="52" t="s">
        <v>21</v>
      </c>
      <c r="I50" s="52">
        <v>10</v>
      </c>
      <c r="J50" s="52">
        <v>3</v>
      </c>
      <c r="K50" s="52" t="s">
        <v>2</v>
      </c>
      <c r="L50" s="52">
        <v>15</v>
      </c>
      <c r="M50" s="52">
        <v>10</v>
      </c>
      <c r="N50" s="52">
        <v>1</v>
      </c>
      <c r="O50" s="52">
        <v>45</v>
      </c>
      <c r="P50" s="52">
        <v>40</v>
      </c>
      <c r="Q50" s="52">
        <v>36</v>
      </c>
      <c r="R50" s="52">
        <v>40</v>
      </c>
      <c r="S50" s="52">
        <v>4.25</v>
      </c>
      <c r="T50" s="52"/>
      <c r="U50" s="52"/>
      <c r="V50" s="52"/>
      <c r="W50" s="1">
        <f>SUM(X50:BD50)*(num_weapons_base+num_weapons_mod*COUNT(X50:BD50))</f>
        <v>171.93</v>
      </c>
      <c r="X50" s="53">
        <f aca="true" t="shared" si="16" ref="X50:AH50">VLOOKUP(X49,weapon,2,FALSE)</f>
        <v>17.325000000000003</v>
      </c>
      <c r="Y50" s="53">
        <f t="shared" si="16"/>
        <v>17.325000000000003</v>
      </c>
      <c r="Z50" s="53">
        <f t="shared" si="16"/>
        <v>17.325000000000003</v>
      </c>
      <c r="AA50" s="53">
        <f t="shared" si="16"/>
        <v>17.325000000000003</v>
      </c>
      <c r="AB50" s="53">
        <f t="shared" si="16"/>
        <v>17.325000000000003</v>
      </c>
      <c r="AC50" s="53">
        <f t="shared" si="16"/>
        <v>17.325000000000003</v>
      </c>
      <c r="AD50" s="53">
        <f t="shared" si="16"/>
        <v>3.771428571428572</v>
      </c>
      <c r="AE50" s="53">
        <f t="shared" si="16"/>
        <v>3.771428571428572</v>
      </c>
      <c r="AF50" s="53">
        <f t="shared" si="16"/>
        <v>3.771428571428572</v>
      </c>
      <c r="AG50" s="53">
        <f t="shared" si="16"/>
        <v>3.771428571428572</v>
      </c>
      <c r="AH50" s="53">
        <f t="shared" si="16"/>
        <v>3.771428571428572</v>
      </c>
      <c r="AI50" s="53"/>
      <c r="AJ50" s="53"/>
      <c r="AK50" s="53"/>
      <c r="AL50" s="53"/>
      <c r="AM50" s="53"/>
      <c r="AN50" s="53"/>
      <c r="AO50" s="53"/>
      <c r="AP50" s="53"/>
      <c r="AQ50" s="53"/>
      <c r="AR50" s="53"/>
      <c r="AS50" s="53"/>
      <c r="AT50" s="53"/>
      <c r="AU50" s="53"/>
      <c r="AV50" s="53"/>
      <c r="AW50" s="53"/>
      <c r="AX50" s="53"/>
      <c r="AY50" s="43"/>
      <c r="AZ50" s="43"/>
      <c r="BA50" s="43"/>
      <c r="BB50" s="43"/>
      <c r="BC50" s="43"/>
      <c r="BD50" s="43"/>
      <c r="BE50" s="43"/>
      <c r="BF50" s="43"/>
      <c r="BG50" s="43"/>
    </row>
    <row r="51" spans="2:59" ht="12.75">
      <c r="B51" s="2"/>
      <c r="C51" s="42"/>
      <c r="D51" s="42"/>
      <c r="E51" s="5"/>
      <c r="F51" s="5"/>
      <c r="G51" s="7"/>
      <c r="H51" s="5"/>
      <c r="I51" s="5"/>
      <c r="J51" s="5"/>
      <c r="K51" s="5"/>
      <c r="L51" s="5"/>
      <c r="M51" s="5"/>
      <c r="N51" s="5"/>
      <c r="O51" s="5"/>
      <c r="P51" s="5"/>
      <c r="Q51" s="5"/>
      <c r="R51" s="5"/>
      <c r="S51" s="5"/>
      <c r="T51" s="5"/>
      <c r="U51" s="5"/>
      <c r="V51" s="5"/>
      <c r="W51" s="1"/>
      <c r="X51" s="43" t="s">
        <v>430</v>
      </c>
      <c r="Y51" s="43" t="s">
        <v>430</v>
      </c>
      <c r="Z51" s="43" t="s">
        <v>430</v>
      </c>
      <c r="AA51" s="43" t="s">
        <v>430</v>
      </c>
      <c r="AB51" s="43" t="s">
        <v>430</v>
      </c>
      <c r="AC51" s="43" t="s">
        <v>430</v>
      </c>
      <c r="AD51" s="43" t="s">
        <v>430</v>
      </c>
      <c r="AE51" s="43" t="s">
        <v>430</v>
      </c>
      <c r="AF51" s="43" t="s">
        <v>430</v>
      </c>
      <c r="AG51" s="43" t="s">
        <v>430</v>
      </c>
      <c r="AH51" s="43" t="s">
        <v>273</v>
      </c>
      <c r="AI51" s="43" t="s">
        <v>273</v>
      </c>
      <c r="AJ51" s="43" t="s">
        <v>273</v>
      </c>
      <c r="AK51" s="43" t="s">
        <v>273</v>
      </c>
      <c r="AL51" s="43" t="s">
        <v>273</v>
      </c>
      <c r="AM51" s="43"/>
      <c r="AN51" s="44"/>
      <c r="AO51" s="43"/>
      <c r="AP51" s="43"/>
      <c r="AQ51" s="43"/>
      <c r="AR51" s="43"/>
      <c r="AS51" s="43"/>
      <c r="AT51" s="43"/>
      <c r="AU51" s="43"/>
      <c r="AV51" s="43"/>
      <c r="AW51" s="43"/>
      <c r="AX51" s="43"/>
      <c r="AY51" s="43"/>
      <c r="AZ51" s="43"/>
      <c r="BA51" s="43"/>
      <c r="BB51" s="43"/>
      <c r="BC51" s="43"/>
      <c r="BD51" s="43"/>
      <c r="BE51" s="43"/>
      <c r="BF51" s="43"/>
      <c r="BG51" s="43"/>
    </row>
    <row r="52" spans="2:59" ht="12.75">
      <c r="B52" s="2" t="s">
        <v>512</v>
      </c>
      <c r="C52" s="1">
        <f>E52*(VLOOKUP(D52,Race,2,FALSE)*(N52*init_bonus+O52+P52*front+Q52*Back+R52+S52*armour+SUM(T52:V52))*(Thrust_base+(I52/J52)/Thrust_div)*POWER(W52,Weapon_power))/(POWER(signature,(L52-M52)))*IF(K52="Y",gravitic,1)*IF(H52="Y",agile,1)/divisor</f>
        <v>2644.4195536075076</v>
      </c>
      <c r="D52" s="1" t="s">
        <v>508</v>
      </c>
      <c r="E52" s="52">
        <f>ROUND(1.4*POWER(1.03,(15-$L52)),1)</f>
        <v>1.4</v>
      </c>
      <c r="F52" s="52"/>
      <c r="G52" s="1">
        <v>0</v>
      </c>
      <c r="H52" s="52" t="s">
        <v>21</v>
      </c>
      <c r="I52" s="52">
        <v>12</v>
      </c>
      <c r="J52" s="52">
        <v>5</v>
      </c>
      <c r="K52" s="52" t="s">
        <v>2</v>
      </c>
      <c r="L52" s="52">
        <v>15</v>
      </c>
      <c r="M52" s="52">
        <v>12</v>
      </c>
      <c r="N52" s="52">
        <v>1</v>
      </c>
      <c r="O52" s="52">
        <v>66</v>
      </c>
      <c r="P52" s="52">
        <v>60</v>
      </c>
      <c r="Q52" s="52">
        <v>60</v>
      </c>
      <c r="R52" s="52">
        <v>80</v>
      </c>
      <c r="S52" s="52">
        <v>4.75</v>
      </c>
      <c r="T52" s="52"/>
      <c r="U52" s="52"/>
      <c r="V52" s="52"/>
      <c r="W52" s="1">
        <f>SUM(X52:BD52)*(num_weapons_base+num_weapons_mod*COUNT(X52:BD52))</f>
        <v>892.5383532934136</v>
      </c>
      <c r="X52" s="53">
        <f aca="true" t="shared" si="17" ref="X52:AL52">VLOOKUP(X51,weapon,2,FALSE)</f>
        <v>48.55149700598803</v>
      </c>
      <c r="Y52" s="53">
        <f t="shared" si="17"/>
        <v>48.55149700598803</v>
      </c>
      <c r="Z52" s="53">
        <f t="shared" si="17"/>
        <v>48.55149700598803</v>
      </c>
      <c r="AA52" s="53">
        <f t="shared" si="17"/>
        <v>48.55149700598803</v>
      </c>
      <c r="AB52" s="53">
        <f t="shared" si="17"/>
        <v>48.55149700598803</v>
      </c>
      <c r="AC52" s="53">
        <f t="shared" si="17"/>
        <v>48.55149700598803</v>
      </c>
      <c r="AD52" s="53">
        <f t="shared" si="17"/>
        <v>48.55149700598803</v>
      </c>
      <c r="AE52" s="53">
        <f t="shared" si="17"/>
        <v>48.55149700598803</v>
      </c>
      <c r="AF52" s="53">
        <f t="shared" si="17"/>
        <v>48.55149700598803</v>
      </c>
      <c r="AG52" s="53">
        <f t="shared" si="17"/>
        <v>48.55149700598803</v>
      </c>
      <c r="AH52" s="53">
        <f t="shared" si="17"/>
        <v>17.325000000000003</v>
      </c>
      <c r="AI52" s="53">
        <f t="shared" si="17"/>
        <v>17.325000000000003</v>
      </c>
      <c r="AJ52" s="53">
        <f t="shared" si="17"/>
        <v>17.325000000000003</v>
      </c>
      <c r="AK52" s="53">
        <f t="shared" si="17"/>
        <v>17.325000000000003</v>
      </c>
      <c r="AL52" s="53">
        <f t="shared" si="17"/>
        <v>17.325000000000003</v>
      </c>
      <c r="AM52" s="53"/>
      <c r="AN52" s="53"/>
      <c r="AO52" s="53"/>
      <c r="AP52" s="53"/>
      <c r="AQ52" s="53"/>
      <c r="AR52" s="53"/>
      <c r="AS52" s="53"/>
      <c r="AT52" s="53"/>
      <c r="AU52" s="53"/>
      <c r="AV52" s="53"/>
      <c r="AW52" s="53"/>
      <c r="AX52" s="53"/>
      <c r="AY52" s="43"/>
      <c r="AZ52" s="43"/>
      <c r="BA52" s="43"/>
      <c r="BB52" s="43"/>
      <c r="BC52" s="43"/>
      <c r="BD52" s="43"/>
      <c r="BE52" s="43"/>
      <c r="BF52" s="43"/>
      <c r="BG52" s="43"/>
    </row>
    <row r="53" spans="2:59" ht="12.75">
      <c r="B53" s="2"/>
      <c r="C53" s="42"/>
      <c r="D53" s="42"/>
      <c r="E53" s="5"/>
      <c r="F53" s="5"/>
      <c r="G53" s="7"/>
      <c r="H53" s="5"/>
      <c r="I53" s="5"/>
      <c r="J53" s="5"/>
      <c r="K53" s="5"/>
      <c r="L53" s="5"/>
      <c r="M53" s="5"/>
      <c r="N53" s="5"/>
      <c r="O53" s="5"/>
      <c r="P53" s="5"/>
      <c r="Q53" s="5"/>
      <c r="R53" s="5"/>
      <c r="S53" s="5"/>
      <c r="T53" s="5"/>
      <c r="U53" s="5"/>
      <c r="V53" s="5"/>
      <c r="W53" s="1"/>
      <c r="X53" s="43" t="s">
        <v>427</v>
      </c>
      <c r="Y53" s="43" t="s">
        <v>427</v>
      </c>
      <c r="Z53" s="43" t="s">
        <v>427</v>
      </c>
      <c r="AA53" s="43" t="s">
        <v>343</v>
      </c>
      <c r="AB53" s="43" t="s">
        <v>343</v>
      </c>
      <c r="AC53" s="43" t="s">
        <v>273</v>
      </c>
      <c r="AD53" s="43" t="s">
        <v>273</v>
      </c>
      <c r="AE53" s="43" t="s">
        <v>306</v>
      </c>
      <c r="AF53" s="43" t="s">
        <v>306</v>
      </c>
      <c r="AG53" s="43" t="s">
        <v>306</v>
      </c>
      <c r="AH53" s="43" t="s">
        <v>306</v>
      </c>
      <c r="AI53" s="43" t="s">
        <v>306</v>
      </c>
      <c r="AJ53" s="43" t="s">
        <v>306</v>
      </c>
      <c r="AK53" s="43" t="s">
        <v>306</v>
      </c>
      <c r="AL53" s="43" t="s">
        <v>306</v>
      </c>
      <c r="AM53" s="43" t="s">
        <v>306</v>
      </c>
      <c r="AN53" s="43" t="s">
        <v>306</v>
      </c>
      <c r="AO53" s="43" t="s">
        <v>306</v>
      </c>
      <c r="AP53" s="43" t="s">
        <v>306</v>
      </c>
      <c r="AQ53" s="43" t="s">
        <v>306</v>
      </c>
      <c r="AR53" s="43" t="s">
        <v>306</v>
      </c>
      <c r="AS53" s="43" t="s">
        <v>306</v>
      </c>
      <c r="AT53" s="43" t="s">
        <v>306</v>
      </c>
      <c r="AU53" s="43" t="s">
        <v>306</v>
      </c>
      <c r="AV53" s="43" t="s">
        <v>306</v>
      </c>
      <c r="AW53" s="43" t="s">
        <v>306</v>
      </c>
      <c r="AX53" s="43" t="s">
        <v>306</v>
      </c>
      <c r="AY53" s="43"/>
      <c r="AZ53" s="43"/>
      <c r="BA53" s="43"/>
      <c r="BB53" s="43"/>
      <c r="BC53" s="43"/>
      <c r="BD53" s="43"/>
      <c r="BE53" s="43"/>
      <c r="BF53" s="43"/>
      <c r="BG53" s="43"/>
    </row>
    <row r="54" spans="2:59" ht="12.75">
      <c r="B54" s="2" t="s">
        <v>513</v>
      </c>
      <c r="C54" s="1">
        <f>E54*(VLOOKUP(D54,Race,2,FALSE)*(N54*init_bonus+O54+P54*front+Q54*Back+R54+S54*armour+SUM(T54:V54))*(Thrust_base+(I54/J54)/Thrust_div)*POWER(W54,Weapon_power))/(POWER(signature,(L54-M54)))*IF(K54="Y",gravitic,1)*IF(H54="Y",agile,1)/divisor</f>
        <v>1037.595605865864</v>
      </c>
      <c r="D54" s="1" t="s">
        <v>508</v>
      </c>
      <c r="E54" s="52">
        <f>ROUND(1.4*POWER(1.03,(15-$L54)),1)</f>
        <v>1.6</v>
      </c>
      <c r="F54" s="52"/>
      <c r="G54" s="1">
        <v>0</v>
      </c>
      <c r="H54" s="52" t="s">
        <v>21</v>
      </c>
      <c r="I54" s="52">
        <v>10</v>
      </c>
      <c r="J54" s="52">
        <v>3</v>
      </c>
      <c r="K54" s="52" t="s">
        <v>2</v>
      </c>
      <c r="L54" s="52">
        <v>10</v>
      </c>
      <c r="M54" s="52">
        <v>10</v>
      </c>
      <c r="N54" s="52">
        <v>7</v>
      </c>
      <c r="O54" s="52">
        <v>60</v>
      </c>
      <c r="P54" s="52">
        <v>60</v>
      </c>
      <c r="Q54" s="52">
        <v>56</v>
      </c>
      <c r="R54" s="52">
        <v>0</v>
      </c>
      <c r="S54" s="52">
        <v>4</v>
      </c>
      <c r="T54" s="52"/>
      <c r="U54" s="52"/>
      <c r="V54" s="52"/>
      <c r="W54" s="1">
        <f>SUM(X54:BD54)*(num_weapons_base+num_weapons_mod*COUNT(X54:BD54))</f>
        <v>345.73804106073567</v>
      </c>
      <c r="X54" s="53">
        <f aca="true" t="shared" si="18" ref="X54:AD54">VLOOKUP(X53,weapon,2,FALSE)</f>
        <v>54.77604790419162</v>
      </c>
      <c r="Y54" s="53">
        <f t="shared" si="18"/>
        <v>54.77604790419162</v>
      </c>
      <c r="Z54" s="53">
        <f t="shared" si="18"/>
        <v>54.77604790419162</v>
      </c>
      <c r="AA54" s="53">
        <f t="shared" si="18"/>
        <v>39.921428571428564</v>
      </c>
      <c r="AB54" s="53">
        <f t="shared" si="18"/>
        <v>39.921428571428564</v>
      </c>
      <c r="AC54" s="53">
        <f t="shared" si="18"/>
        <v>17.325000000000003</v>
      </c>
      <c r="AD54" s="53">
        <f t="shared" si="18"/>
        <v>17.325000000000003</v>
      </c>
      <c r="AE54" s="53"/>
      <c r="AF54" s="53"/>
      <c r="AG54" s="53"/>
      <c r="AH54" s="53"/>
      <c r="AI54" s="53"/>
      <c r="AJ54" s="53"/>
      <c r="AK54" s="53"/>
      <c r="AL54" s="53"/>
      <c r="AM54" s="53"/>
      <c r="AN54" s="53"/>
      <c r="AO54" s="53"/>
      <c r="AP54" s="53"/>
      <c r="AQ54" s="53"/>
      <c r="AR54" s="53"/>
      <c r="AS54" s="53"/>
      <c r="AT54" s="53"/>
      <c r="AU54" s="53"/>
      <c r="AV54" s="53"/>
      <c r="AW54" s="53"/>
      <c r="AX54" s="53"/>
      <c r="AY54" s="43"/>
      <c r="AZ54" s="43"/>
      <c r="BA54" s="43"/>
      <c r="BB54" s="43"/>
      <c r="BC54" s="43"/>
      <c r="BD54" s="43"/>
      <c r="BE54" s="43"/>
      <c r="BF54" s="43"/>
      <c r="BG54" s="43"/>
    </row>
    <row r="55" spans="2:59" ht="12.75">
      <c r="B55" s="2"/>
      <c r="C55" s="42"/>
      <c r="D55" s="42"/>
      <c r="E55" s="5"/>
      <c r="F55" s="5"/>
      <c r="G55" s="7"/>
      <c r="H55" s="5"/>
      <c r="I55" s="5"/>
      <c r="J55" s="5"/>
      <c r="K55" s="5"/>
      <c r="L55" s="5"/>
      <c r="M55" s="5"/>
      <c r="N55" s="5"/>
      <c r="O55" s="5"/>
      <c r="P55" s="5"/>
      <c r="Q55" s="5"/>
      <c r="R55" s="5"/>
      <c r="S55" s="5"/>
      <c r="T55" s="5"/>
      <c r="U55" s="5"/>
      <c r="V55" s="5"/>
      <c r="W55" s="1"/>
      <c r="X55" s="43" t="s">
        <v>430</v>
      </c>
      <c r="Y55" s="43" t="s">
        <v>430</v>
      </c>
      <c r="Z55" s="43" t="s">
        <v>430</v>
      </c>
      <c r="AA55" s="43" t="s">
        <v>430</v>
      </c>
      <c r="AB55" s="43" t="s">
        <v>430</v>
      </c>
      <c r="AC55" s="43" t="s">
        <v>430</v>
      </c>
      <c r="AD55" s="43" t="s">
        <v>190</v>
      </c>
      <c r="AE55" s="43" t="s">
        <v>190</v>
      </c>
      <c r="AF55" s="43" t="s">
        <v>273</v>
      </c>
      <c r="AG55" s="43" t="s">
        <v>273</v>
      </c>
      <c r="AH55" s="43" t="s">
        <v>273</v>
      </c>
      <c r="AI55" s="43" t="s">
        <v>273</v>
      </c>
      <c r="AJ55" s="43" t="s">
        <v>273</v>
      </c>
      <c r="AK55" s="43" t="s">
        <v>273</v>
      </c>
      <c r="AL55" s="43" t="s">
        <v>273</v>
      </c>
      <c r="AM55" s="43" t="s">
        <v>273</v>
      </c>
      <c r="AN55" s="43" t="s">
        <v>273</v>
      </c>
      <c r="AO55" s="43" t="s">
        <v>273</v>
      </c>
      <c r="AP55" s="43" t="s">
        <v>273</v>
      </c>
      <c r="AQ55" s="43" t="s">
        <v>273</v>
      </c>
      <c r="AR55" s="43" t="s">
        <v>273</v>
      </c>
      <c r="AS55" s="43" t="s">
        <v>273</v>
      </c>
      <c r="AT55" s="43" t="s">
        <v>273</v>
      </c>
      <c r="AU55" s="43" t="s">
        <v>273</v>
      </c>
      <c r="AV55" s="43" t="s">
        <v>273</v>
      </c>
      <c r="AW55" s="43" t="s">
        <v>273</v>
      </c>
      <c r="AX55" s="43" t="s">
        <v>273</v>
      </c>
      <c r="AY55" s="43" t="s">
        <v>273</v>
      </c>
      <c r="AZ55" s="43" t="s">
        <v>273</v>
      </c>
      <c r="BA55" s="43" t="s">
        <v>273</v>
      </c>
      <c r="BB55" s="43" t="s">
        <v>273</v>
      </c>
      <c r="BC55" s="43" t="s">
        <v>233</v>
      </c>
      <c r="BD55" s="43" t="s">
        <v>233</v>
      </c>
      <c r="BE55" s="43"/>
      <c r="BF55" s="43"/>
      <c r="BG55" s="43"/>
    </row>
    <row r="56" spans="2:59" ht="12.75">
      <c r="B56" s="2" t="s">
        <v>514</v>
      </c>
      <c r="C56" s="1">
        <f>E56*(VLOOKUP(D56,Race,2,FALSE)*(N56*init_bonus+O56+P56*front+Q56*Back+R56+S56*armour+SUM(T56:V56))*(Thrust_base+(I56/J56)/Thrust_div)*POWER(W56,Weapon_power))/(POWER(signature,(L56-M56)))*IF(K56="Y",gravitic,1)*IF(H56="Y",agile,1)/divisor</f>
        <v>5762.311990402681</v>
      </c>
      <c r="D56" s="1" t="s">
        <v>508</v>
      </c>
      <c r="E56" s="52">
        <f>ROUND(1.4*POWER(1.03,(15-$L56)),1)</f>
        <v>1.3</v>
      </c>
      <c r="F56" s="52">
        <v>24</v>
      </c>
      <c r="G56" s="1">
        <f>4*C72</f>
        <v>111.3850206457229</v>
      </c>
      <c r="H56" s="52" t="s">
        <v>21</v>
      </c>
      <c r="I56" s="52">
        <v>16</v>
      </c>
      <c r="J56" s="52">
        <v>6</v>
      </c>
      <c r="K56" s="52" t="s">
        <v>2</v>
      </c>
      <c r="L56" s="52">
        <v>18</v>
      </c>
      <c r="M56" s="52">
        <v>12</v>
      </c>
      <c r="N56" s="52">
        <v>1</v>
      </c>
      <c r="O56" s="52">
        <v>96</v>
      </c>
      <c r="P56" s="52">
        <v>80</v>
      </c>
      <c r="Q56" s="52">
        <v>80</v>
      </c>
      <c r="R56" s="52">
        <v>124</v>
      </c>
      <c r="S56" s="52">
        <v>6</v>
      </c>
      <c r="T56" s="52"/>
      <c r="U56" s="52"/>
      <c r="V56" s="52"/>
      <c r="W56" s="1">
        <f>SUM(X56:BD56)*(num_weapons_base+num_weapons_mod*COUNT(X56:BD56))</f>
        <v>1733.2194790419178</v>
      </c>
      <c r="X56" s="53">
        <f aca="true" t="shared" si="19" ref="X56:AW56">VLOOKUP(X55,weapon,2,FALSE)</f>
        <v>48.55149700598803</v>
      </c>
      <c r="Y56" s="53">
        <f t="shared" si="19"/>
        <v>48.55149700598803</v>
      </c>
      <c r="Z56" s="53">
        <f t="shared" si="19"/>
        <v>48.55149700598803</v>
      </c>
      <c r="AA56" s="53">
        <f t="shared" si="19"/>
        <v>48.55149700598803</v>
      </c>
      <c r="AB56" s="53">
        <f t="shared" si="19"/>
        <v>48.55149700598803</v>
      </c>
      <c r="AC56" s="53">
        <f t="shared" si="19"/>
        <v>48.55149700598803</v>
      </c>
      <c r="AD56" s="53">
        <f t="shared" si="19"/>
        <v>31.428571428571434</v>
      </c>
      <c r="AE56" s="53">
        <f t="shared" si="19"/>
        <v>31.428571428571434</v>
      </c>
      <c r="AF56" s="53">
        <f t="shared" si="19"/>
        <v>17.325000000000003</v>
      </c>
      <c r="AG56" s="53">
        <f t="shared" si="19"/>
        <v>17.325000000000003</v>
      </c>
      <c r="AH56" s="53">
        <f t="shared" si="19"/>
        <v>17.325000000000003</v>
      </c>
      <c r="AI56" s="53">
        <f t="shared" si="19"/>
        <v>17.325000000000003</v>
      </c>
      <c r="AJ56" s="53">
        <f t="shared" si="19"/>
        <v>17.325000000000003</v>
      </c>
      <c r="AK56" s="53">
        <f t="shared" si="19"/>
        <v>17.325000000000003</v>
      </c>
      <c r="AL56" s="53">
        <f t="shared" si="19"/>
        <v>17.325000000000003</v>
      </c>
      <c r="AM56" s="53">
        <f t="shared" si="19"/>
        <v>17.325000000000003</v>
      </c>
      <c r="AN56" s="53">
        <f t="shared" si="19"/>
        <v>17.325000000000003</v>
      </c>
      <c r="AO56" s="53">
        <f t="shared" si="19"/>
        <v>17.325000000000003</v>
      </c>
      <c r="AP56" s="53">
        <f t="shared" si="19"/>
        <v>17.325000000000003</v>
      </c>
      <c r="AQ56" s="53">
        <f t="shared" si="19"/>
        <v>17.325000000000003</v>
      </c>
      <c r="AR56" s="53">
        <f t="shared" si="19"/>
        <v>17.325000000000003</v>
      </c>
      <c r="AS56" s="53">
        <f t="shared" si="19"/>
        <v>17.325000000000003</v>
      </c>
      <c r="AT56" s="53">
        <f t="shared" si="19"/>
        <v>17.325000000000003</v>
      </c>
      <c r="AU56" s="53">
        <f t="shared" si="19"/>
        <v>17.325000000000003</v>
      </c>
      <c r="AV56" s="53">
        <f t="shared" si="19"/>
        <v>17.325000000000003</v>
      </c>
      <c r="AW56" s="53">
        <f t="shared" si="19"/>
        <v>17.325000000000003</v>
      </c>
      <c r="AX56" s="53">
        <f aca="true" t="shared" si="20" ref="AX56:BD56">VLOOKUP(AX55,weapon,2,FALSE)</f>
        <v>17.325000000000003</v>
      </c>
      <c r="AY56" s="53">
        <f t="shared" si="20"/>
        <v>17.325000000000003</v>
      </c>
      <c r="AZ56" s="53">
        <f t="shared" si="20"/>
        <v>17.325000000000003</v>
      </c>
      <c r="BA56" s="53">
        <f t="shared" si="20"/>
        <v>17.325000000000003</v>
      </c>
      <c r="BB56" s="53">
        <f t="shared" si="20"/>
        <v>17.325000000000003</v>
      </c>
      <c r="BC56" s="53">
        <f t="shared" si="20"/>
        <v>3.771428571428572</v>
      </c>
      <c r="BD56" s="53">
        <f t="shared" si="20"/>
        <v>3.771428571428572</v>
      </c>
      <c r="BE56" s="43"/>
      <c r="BF56" s="43"/>
      <c r="BG56" s="43"/>
    </row>
    <row r="57" spans="2:59" ht="12.75">
      <c r="B57" s="2"/>
      <c r="C57" s="42"/>
      <c r="D57" s="42"/>
      <c r="E57" s="5"/>
      <c r="F57" s="5"/>
      <c r="G57" s="7"/>
      <c r="H57" s="5"/>
      <c r="I57" s="5"/>
      <c r="J57" s="5"/>
      <c r="K57" s="5"/>
      <c r="L57" s="5"/>
      <c r="M57" s="5"/>
      <c r="N57" s="5"/>
      <c r="O57" s="5"/>
      <c r="P57" s="5"/>
      <c r="Q57" s="5"/>
      <c r="R57" s="5"/>
      <c r="S57" s="5"/>
      <c r="T57" s="5"/>
      <c r="U57" s="5"/>
      <c r="V57" s="5"/>
      <c r="W57" s="1"/>
      <c r="X57" s="43" t="s">
        <v>430</v>
      </c>
      <c r="Y57" s="43" t="s">
        <v>430</v>
      </c>
      <c r="Z57" s="43" t="s">
        <v>430</v>
      </c>
      <c r="AA57" s="43" t="s">
        <v>430</v>
      </c>
      <c r="AB57" s="43" t="s">
        <v>430</v>
      </c>
      <c r="AC57" s="43" t="s">
        <v>430</v>
      </c>
      <c r="AD57" s="43" t="s">
        <v>273</v>
      </c>
      <c r="AE57" s="43" t="s">
        <v>273</v>
      </c>
      <c r="AF57" s="43" t="s">
        <v>273</v>
      </c>
      <c r="AG57" s="43" t="s">
        <v>273</v>
      </c>
      <c r="AH57" s="43" t="s">
        <v>273</v>
      </c>
      <c r="AI57" s="43" t="s">
        <v>273</v>
      </c>
      <c r="AJ57" s="43" t="s">
        <v>273</v>
      </c>
      <c r="AK57" s="43" t="s">
        <v>273</v>
      </c>
      <c r="AL57" s="43" t="s">
        <v>273</v>
      </c>
      <c r="AM57" s="43" t="s">
        <v>273</v>
      </c>
      <c r="AN57" s="43" t="s">
        <v>273</v>
      </c>
      <c r="AO57" s="43" t="s">
        <v>273</v>
      </c>
      <c r="AP57" s="43" t="s">
        <v>273</v>
      </c>
      <c r="AQ57" s="43" t="s">
        <v>273</v>
      </c>
      <c r="AR57" s="43" t="s">
        <v>273</v>
      </c>
      <c r="AS57" s="43" t="s">
        <v>273</v>
      </c>
      <c r="AT57" s="43" t="s">
        <v>273</v>
      </c>
      <c r="AU57" s="43" t="s">
        <v>273</v>
      </c>
      <c r="AV57" s="43" t="s">
        <v>233</v>
      </c>
      <c r="AW57" s="43"/>
      <c r="AX57" s="43"/>
      <c r="AY57" s="43"/>
      <c r="AZ57" s="43"/>
      <c r="BA57" s="43"/>
      <c r="BB57" s="43"/>
      <c r="BC57" s="43"/>
      <c r="BD57" s="43"/>
      <c r="BE57" s="43"/>
      <c r="BF57" s="43"/>
      <c r="BG57" s="43"/>
    </row>
    <row r="58" spans="2:59" ht="12.75">
      <c r="B58" s="2" t="s">
        <v>515</v>
      </c>
      <c r="C58" s="1">
        <f>E58*(VLOOKUP(D58,Race,2,FALSE)*(N58*init_bonus+O58+P58*front+Q58*Back+R58+S58*armour+SUM(T58:V58))*(Thrust_base+(I58/J58)/Thrust_div)*POWER(W58,Weapon_power))/(POWER(signature,(L58-M58)))*IF(K58="Y",gravitic,1)*IF(H58="Y",agile,1)/divisor</f>
        <v>3378.5366093732914</v>
      </c>
      <c r="D58" s="1" t="s">
        <v>508</v>
      </c>
      <c r="E58" s="52">
        <f>ROUND(1.4*POWER(1.03,(15-$L58)),1)</f>
        <v>1.3</v>
      </c>
      <c r="F58" s="52">
        <v>24</v>
      </c>
      <c r="G58" s="1">
        <f>4*C72</f>
        <v>111.3850206457229</v>
      </c>
      <c r="H58" s="52" t="s">
        <v>21</v>
      </c>
      <c r="I58" s="52">
        <v>12</v>
      </c>
      <c r="J58" s="52">
        <v>5</v>
      </c>
      <c r="K58" s="52" t="s">
        <v>2</v>
      </c>
      <c r="L58" s="52">
        <v>17</v>
      </c>
      <c r="M58" s="52">
        <v>12</v>
      </c>
      <c r="N58" s="52">
        <v>1</v>
      </c>
      <c r="O58" s="52">
        <v>80</v>
      </c>
      <c r="P58" s="52">
        <v>70</v>
      </c>
      <c r="Q58" s="52">
        <v>70</v>
      </c>
      <c r="R58" s="52">
        <v>96</v>
      </c>
      <c r="S58" s="52">
        <v>5</v>
      </c>
      <c r="T58" s="52"/>
      <c r="U58" s="52"/>
      <c r="V58" s="52"/>
      <c r="W58" s="1">
        <f>SUM(X58:BD58)*(num_weapons_base+num_weapons_mod*COUNT(X58:BD58))</f>
        <v>1189.5836047904195</v>
      </c>
      <c r="X58" s="53">
        <f aca="true" t="shared" si="21" ref="X58:AV58">VLOOKUP(X57,weapon,2,FALSE)</f>
        <v>48.55149700598803</v>
      </c>
      <c r="Y58" s="53">
        <f t="shared" si="21"/>
        <v>48.55149700598803</v>
      </c>
      <c r="Z58" s="53">
        <f t="shared" si="21"/>
        <v>48.55149700598803</v>
      </c>
      <c r="AA58" s="53">
        <f t="shared" si="21"/>
        <v>48.55149700598803</v>
      </c>
      <c r="AB58" s="53">
        <f t="shared" si="21"/>
        <v>48.55149700598803</v>
      </c>
      <c r="AC58" s="53">
        <f t="shared" si="21"/>
        <v>48.55149700598803</v>
      </c>
      <c r="AD58" s="53">
        <f t="shared" si="21"/>
        <v>17.325000000000003</v>
      </c>
      <c r="AE58" s="53">
        <f t="shared" si="21"/>
        <v>17.325000000000003</v>
      </c>
      <c r="AF58" s="53">
        <f t="shared" si="21"/>
        <v>17.325000000000003</v>
      </c>
      <c r="AG58" s="53">
        <f t="shared" si="21"/>
        <v>17.325000000000003</v>
      </c>
      <c r="AH58" s="53">
        <f t="shared" si="21"/>
        <v>17.325000000000003</v>
      </c>
      <c r="AI58" s="53">
        <f t="shared" si="21"/>
        <v>17.325000000000003</v>
      </c>
      <c r="AJ58" s="53">
        <f t="shared" si="21"/>
        <v>17.325000000000003</v>
      </c>
      <c r="AK58" s="53">
        <f t="shared" si="21"/>
        <v>17.325000000000003</v>
      </c>
      <c r="AL58" s="53">
        <f t="shared" si="21"/>
        <v>17.325000000000003</v>
      </c>
      <c r="AM58" s="53">
        <f t="shared" si="21"/>
        <v>17.325000000000003</v>
      </c>
      <c r="AN58" s="53">
        <f t="shared" si="21"/>
        <v>17.325000000000003</v>
      </c>
      <c r="AO58" s="53">
        <f t="shared" si="21"/>
        <v>17.325000000000003</v>
      </c>
      <c r="AP58" s="53">
        <f t="shared" si="21"/>
        <v>17.325000000000003</v>
      </c>
      <c r="AQ58" s="53">
        <f t="shared" si="21"/>
        <v>17.325000000000003</v>
      </c>
      <c r="AR58" s="53">
        <f t="shared" si="21"/>
        <v>17.325000000000003</v>
      </c>
      <c r="AS58" s="53">
        <f t="shared" si="21"/>
        <v>17.325000000000003</v>
      </c>
      <c r="AT58" s="53">
        <f t="shared" si="21"/>
        <v>17.325000000000003</v>
      </c>
      <c r="AU58" s="53">
        <f t="shared" si="21"/>
        <v>17.325000000000003</v>
      </c>
      <c r="AV58" s="53">
        <f t="shared" si="21"/>
        <v>3.771428571428572</v>
      </c>
      <c r="AW58" s="53"/>
      <c r="AX58" s="53"/>
      <c r="AY58" s="43"/>
      <c r="AZ58" s="43"/>
      <c r="BA58" s="43"/>
      <c r="BB58" s="43"/>
      <c r="BC58" s="43"/>
      <c r="BD58" s="43"/>
      <c r="BE58" s="43"/>
      <c r="BF58" s="43"/>
      <c r="BG58" s="43"/>
    </row>
    <row r="59" spans="2:59" ht="12.75">
      <c r="B59" s="2"/>
      <c r="C59" s="42"/>
      <c r="D59" s="42"/>
      <c r="E59" s="5"/>
      <c r="F59" s="5"/>
      <c r="G59" s="7"/>
      <c r="H59" s="5"/>
      <c r="I59" s="5"/>
      <c r="J59" s="5"/>
      <c r="K59" s="5"/>
      <c r="L59" s="5"/>
      <c r="M59" s="5"/>
      <c r="N59" s="5"/>
      <c r="O59" s="5"/>
      <c r="P59" s="5"/>
      <c r="Q59" s="5"/>
      <c r="R59" s="5"/>
      <c r="S59" s="5"/>
      <c r="T59" s="5"/>
      <c r="U59" s="5"/>
      <c r="V59" s="5"/>
      <c r="W59" s="1"/>
      <c r="X59" s="43" t="s">
        <v>276</v>
      </c>
      <c r="Y59" s="43" t="s">
        <v>276</v>
      </c>
      <c r="Z59" s="43" t="s">
        <v>276</v>
      </c>
      <c r="AA59" s="43" t="s">
        <v>276</v>
      </c>
      <c r="AB59" s="43" t="s">
        <v>184</v>
      </c>
      <c r="AC59" s="43" t="s">
        <v>184</v>
      </c>
      <c r="AD59" s="43" t="s">
        <v>273</v>
      </c>
      <c r="AE59" s="43" t="s">
        <v>273</v>
      </c>
      <c r="AF59" s="43" t="s">
        <v>273</v>
      </c>
      <c r="AG59" s="43" t="s">
        <v>273</v>
      </c>
      <c r="AH59" s="43" t="s">
        <v>273</v>
      </c>
      <c r="AI59" s="43" t="s">
        <v>273</v>
      </c>
      <c r="AJ59" s="43" t="s">
        <v>273</v>
      </c>
      <c r="AK59" s="43" t="s">
        <v>273</v>
      </c>
      <c r="AL59" s="43" t="s">
        <v>273</v>
      </c>
      <c r="AM59" s="43" t="s">
        <v>273</v>
      </c>
      <c r="AN59" s="43"/>
      <c r="AO59" s="43"/>
      <c r="AP59" s="43"/>
      <c r="AQ59" s="43"/>
      <c r="AR59" s="43"/>
      <c r="AS59" s="43"/>
      <c r="AT59" s="43"/>
      <c r="AU59" s="43"/>
      <c r="AV59" s="43"/>
      <c r="AW59" s="43"/>
      <c r="AX59" s="43"/>
      <c r="AY59" s="43"/>
      <c r="AZ59" s="43"/>
      <c r="BA59" s="43"/>
      <c r="BB59" s="43"/>
      <c r="BC59" s="43"/>
      <c r="BD59" s="43"/>
      <c r="BE59" s="43"/>
      <c r="BF59" s="43"/>
      <c r="BG59" s="43"/>
    </row>
    <row r="60" spans="2:59" ht="12.75">
      <c r="B60" s="2" t="s">
        <v>516</v>
      </c>
      <c r="C60" s="1">
        <f>E60*(VLOOKUP(D60,Race,2,FALSE)*(N60*init_bonus+O60+P60*front+Q60*Back+R60+S60*armour+SUM(T60:V60))*(Thrust_base+(I60/J60)/Thrust_div)*POWER(W60,Weapon_power))/(POWER(signature,(L60-M60)))*IF(K60="Y",gravitic,1)*IF(H60="Y",agile,1)/divisor</f>
        <v>1092.5463645940895</v>
      </c>
      <c r="D60" s="1" t="s">
        <v>508</v>
      </c>
      <c r="E60" s="52">
        <f>ROUND(1.4*POWER(1.03,(15-$L60)),1)</f>
        <v>1.4</v>
      </c>
      <c r="F60" s="52">
        <v>6</v>
      </c>
      <c r="G60" s="1">
        <f>C72*F60</f>
        <v>167.07753096858437</v>
      </c>
      <c r="H60" s="52" t="s">
        <v>21</v>
      </c>
      <c r="I60" s="52">
        <v>10</v>
      </c>
      <c r="J60" s="52">
        <v>4</v>
      </c>
      <c r="K60" s="52" t="s">
        <v>2</v>
      </c>
      <c r="L60" s="52">
        <v>15</v>
      </c>
      <c r="M60" s="52">
        <v>10</v>
      </c>
      <c r="N60" s="52">
        <v>1</v>
      </c>
      <c r="O60" s="52">
        <v>60</v>
      </c>
      <c r="P60" s="52">
        <v>48</v>
      </c>
      <c r="Q60" s="52">
        <v>48</v>
      </c>
      <c r="R60" s="52">
        <v>70</v>
      </c>
      <c r="S60" s="52">
        <v>5</v>
      </c>
      <c r="T60" s="52"/>
      <c r="U60" s="52"/>
      <c r="V60" s="52"/>
      <c r="W60" s="1">
        <f>SUM(X60:BD60)*(num_weapons_base+num_weapons_mod*COUNT(X60:BD60))</f>
        <v>480.94571037125735</v>
      </c>
      <c r="X60" s="53">
        <f aca="true" t="shared" si="22" ref="X60:AM60">VLOOKUP(X59,weapon,2,FALSE)</f>
        <v>18.52389</v>
      </c>
      <c r="Y60" s="53">
        <f t="shared" si="22"/>
        <v>18.52389</v>
      </c>
      <c r="Z60" s="53">
        <f t="shared" si="22"/>
        <v>18.52389</v>
      </c>
      <c r="AA60" s="53">
        <f t="shared" si="22"/>
        <v>18.52389</v>
      </c>
      <c r="AB60" s="53">
        <f t="shared" si="22"/>
        <v>26.622754491017965</v>
      </c>
      <c r="AC60" s="53">
        <f t="shared" si="22"/>
        <v>26.622754491017965</v>
      </c>
      <c r="AD60" s="53">
        <f t="shared" si="22"/>
        <v>17.325000000000003</v>
      </c>
      <c r="AE60" s="53">
        <f t="shared" si="22"/>
        <v>17.325000000000003</v>
      </c>
      <c r="AF60" s="53">
        <f t="shared" si="22"/>
        <v>17.325000000000003</v>
      </c>
      <c r="AG60" s="53">
        <f t="shared" si="22"/>
        <v>17.325000000000003</v>
      </c>
      <c r="AH60" s="53">
        <f t="shared" si="22"/>
        <v>17.325000000000003</v>
      </c>
      <c r="AI60" s="53">
        <f t="shared" si="22"/>
        <v>17.325000000000003</v>
      </c>
      <c r="AJ60" s="53">
        <f t="shared" si="22"/>
        <v>17.325000000000003</v>
      </c>
      <c r="AK60" s="53">
        <f t="shared" si="22"/>
        <v>17.325000000000003</v>
      </c>
      <c r="AL60" s="53">
        <f t="shared" si="22"/>
        <v>17.325000000000003</v>
      </c>
      <c r="AM60" s="53">
        <f t="shared" si="22"/>
        <v>17.325000000000003</v>
      </c>
      <c r="AN60" s="53"/>
      <c r="AO60" s="53"/>
      <c r="AP60" s="53"/>
      <c r="AQ60" s="53"/>
      <c r="AR60" s="53"/>
      <c r="AS60" s="53"/>
      <c r="AT60" s="53"/>
      <c r="AU60" s="53"/>
      <c r="AV60" s="53"/>
      <c r="AW60" s="53"/>
      <c r="AX60" s="53"/>
      <c r="AY60" s="43"/>
      <c r="AZ60" s="43"/>
      <c r="BA60" s="43"/>
      <c r="BB60" s="43"/>
      <c r="BC60" s="43"/>
      <c r="BD60" s="43"/>
      <c r="BE60" s="43"/>
      <c r="BF60" s="43"/>
      <c r="BG60" s="43"/>
    </row>
    <row r="61" spans="2:59" ht="12.75">
      <c r="B61" s="2"/>
      <c r="C61" s="42"/>
      <c r="D61" s="42"/>
      <c r="E61" s="5"/>
      <c r="F61" s="5"/>
      <c r="G61" s="7"/>
      <c r="H61" s="5"/>
      <c r="I61" s="5"/>
      <c r="J61" s="5"/>
      <c r="K61" s="5"/>
      <c r="L61" s="5"/>
      <c r="M61" s="5"/>
      <c r="N61" s="5"/>
      <c r="O61" s="5"/>
      <c r="P61" s="5"/>
      <c r="Q61" s="5"/>
      <c r="R61" s="5"/>
      <c r="S61" s="5"/>
      <c r="T61" s="5"/>
      <c r="U61" s="5"/>
      <c r="V61" s="5"/>
      <c r="W61" s="1"/>
      <c r="X61" s="43" t="s">
        <v>430</v>
      </c>
      <c r="Y61" s="43" t="s">
        <v>430</v>
      </c>
      <c r="Z61" s="43" t="s">
        <v>430</v>
      </c>
      <c r="AA61" s="43" t="s">
        <v>430</v>
      </c>
      <c r="AB61" s="43" t="s">
        <v>430</v>
      </c>
      <c r="AC61" s="43" t="s">
        <v>430</v>
      </c>
      <c r="AD61" s="43" t="s">
        <v>273</v>
      </c>
      <c r="AE61" s="43" t="s">
        <v>273</v>
      </c>
      <c r="AF61" s="43" t="s">
        <v>273</v>
      </c>
      <c r="AG61" s="43" t="s">
        <v>273</v>
      </c>
      <c r="AH61" s="43" t="s">
        <v>273</v>
      </c>
      <c r="AI61" s="43" t="s">
        <v>273</v>
      </c>
      <c r="AJ61" s="43" t="s">
        <v>273</v>
      </c>
      <c r="AK61" s="43" t="s">
        <v>273</v>
      </c>
      <c r="AL61" s="43" t="s">
        <v>273</v>
      </c>
      <c r="AM61" s="43" t="s">
        <v>273</v>
      </c>
      <c r="AN61" s="43" t="s">
        <v>273</v>
      </c>
      <c r="AO61" s="43" t="s">
        <v>273</v>
      </c>
      <c r="AP61" s="43" t="s">
        <v>273</v>
      </c>
      <c r="AQ61" s="43" t="s">
        <v>273</v>
      </c>
      <c r="AR61" s="43"/>
      <c r="AS61" s="43"/>
      <c r="AT61" s="43"/>
      <c r="AU61" s="43"/>
      <c r="AV61" s="43"/>
      <c r="AW61" s="43"/>
      <c r="AX61" s="43"/>
      <c r="AY61" s="43"/>
      <c r="AZ61" s="43"/>
      <c r="BA61" s="43"/>
      <c r="BB61" s="43"/>
      <c r="BC61" s="43"/>
      <c r="BD61" s="43"/>
      <c r="BE61" s="43"/>
      <c r="BF61" s="43"/>
      <c r="BG61" s="43"/>
    </row>
    <row r="62" spans="2:59" ht="12.75">
      <c r="B62" s="2" t="s">
        <v>517</v>
      </c>
      <c r="C62" s="1">
        <f>E62*(VLOOKUP(D62,Race,2,FALSE)*(N62*init_bonus+O62+P62*front+Q62*Back+R62+S62*armour+SUM(T62:V62))*(Thrust_base+(I62/J62)/Thrust_div)*POWER(W62,Weapon_power))/(POWER(signature,(L62-M62)))*IF(K62="Y",gravitic,1)*IF(H62="Y",agile,1)/divisor</f>
        <v>2361.614347104276</v>
      </c>
      <c r="D62" s="1" t="s">
        <v>508</v>
      </c>
      <c r="E62" s="52">
        <f>ROUND(1.4*POWER(1.03,(15-$L62)),1)</f>
        <v>1.4</v>
      </c>
      <c r="F62" s="52">
        <v>6</v>
      </c>
      <c r="G62" s="1">
        <f>C72*F62</f>
        <v>167.07753096858437</v>
      </c>
      <c r="H62" s="52" t="s">
        <v>21</v>
      </c>
      <c r="I62" s="52">
        <v>10</v>
      </c>
      <c r="J62" s="52">
        <v>4</v>
      </c>
      <c r="K62" s="52" t="s">
        <v>2</v>
      </c>
      <c r="L62" s="52">
        <v>15</v>
      </c>
      <c r="M62" s="52">
        <v>11</v>
      </c>
      <c r="N62" s="52">
        <v>1</v>
      </c>
      <c r="O62" s="52">
        <v>60</v>
      </c>
      <c r="P62" s="52">
        <v>48</v>
      </c>
      <c r="Q62" s="52">
        <v>48</v>
      </c>
      <c r="R62" s="52">
        <v>70</v>
      </c>
      <c r="S62" s="52">
        <v>5</v>
      </c>
      <c r="T62" s="52"/>
      <c r="U62" s="52"/>
      <c r="V62" s="52"/>
      <c r="W62" s="1">
        <f>SUM(X62:BD62)*(num_weapons_base+num_weapons_mod*COUNT(X62:BD62))</f>
        <v>939.5918083832335</v>
      </c>
      <c r="X62" s="53">
        <f aca="true" t="shared" si="23" ref="X62:AQ62">VLOOKUP(X61,weapon,2,FALSE)</f>
        <v>48.55149700598803</v>
      </c>
      <c r="Y62" s="53">
        <f t="shared" si="23"/>
        <v>48.55149700598803</v>
      </c>
      <c r="Z62" s="53">
        <f t="shared" si="23"/>
        <v>48.55149700598803</v>
      </c>
      <c r="AA62" s="53">
        <f t="shared" si="23"/>
        <v>48.55149700598803</v>
      </c>
      <c r="AB62" s="53">
        <f t="shared" si="23"/>
        <v>48.55149700598803</v>
      </c>
      <c r="AC62" s="53">
        <f t="shared" si="23"/>
        <v>48.55149700598803</v>
      </c>
      <c r="AD62" s="53">
        <f t="shared" si="23"/>
        <v>17.325000000000003</v>
      </c>
      <c r="AE62" s="53">
        <f t="shared" si="23"/>
        <v>17.325000000000003</v>
      </c>
      <c r="AF62" s="53">
        <f t="shared" si="23"/>
        <v>17.325000000000003</v>
      </c>
      <c r="AG62" s="53">
        <f t="shared" si="23"/>
        <v>17.325000000000003</v>
      </c>
      <c r="AH62" s="53">
        <f t="shared" si="23"/>
        <v>17.325000000000003</v>
      </c>
      <c r="AI62" s="53">
        <f t="shared" si="23"/>
        <v>17.325000000000003</v>
      </c>
      <c r="AJ62" s="53">
        <f t="shared" si="23"/>
        <v>17.325000000000003</v>
      </c>
      <c r="AK62" s="53">
        <f t="shared" si="23"/>
        <v>17.325000000000003</v>
      </c>
      <c r="AL62" s="53">
        <f t="shared" si="23"/>
        <v>17.325000000000003</v>
      </c>
      <c r="AM62" s="53">
        <f t="shared" si="23"/>
        <v>17.325000000000003</v>
      </c>
      <c r="AN62" s="53">
        <f t="shared" si="23"/>
        <v>17.325000000000003</v>
      </c>
      <c r="AO62" s="53">
        <f t="shared" si="23"/>
        <v>17.325000000000003</v>
      </c>
      <c r="AP62" s="53">
        <f t="shared" si="23"/>
        <v>17.325000000000003</v>
      </c>
      <c r="AQ62" s="53">
        <f t="shared" si="23"/>
        <v>17.325000000000003</v>
      </c>
      <c r="AR62" s="53"/>
      <c r="AS62" s="53"/>
      <c r="AT62" s="53"/>
      <c r="AU62" s="53"/>
      <c r="AV62" s="53"/>
      <c r="AW62" s="53"/>
      <c r="AX62" s="53"/>
      <c r="AY62" s="43"/>
      <c r="AZ62" s="43"/>
      <c r="BA62" s="43"/>
      <c r="BB62" s="43"/>
      <c r="BC62" s="43"/>
      <c r="BD62" s="43"/>
      <c r="BE62" s="43"/>
      <c r="BF62" s="43"/>
      <c r="BG62" s="43"/>
    </row>
    <row r="63" spans="2:59" ht="12.75">
      <c r="B63" s="2"/>
      <c r="C63" s="42"/>
      <c r="D63" s="42"/>
      <c r="E63" s="5"/>
      <c r="F63" s="5"/>
      <c r="G63" s="7"/>
      <c r="H63" s="5"/>
      <c r="I63" s="5"/>
      <c r="J63" s="5"/>
      <c r="K63" s="5"/>
      <c r="L63" s="5"/>
      <c r="M63" s="5"/>
      <c r="N63" s="5"/>
      <c r="O63" s="5"/>
      <c r="P63" s="5"/>
      <c r="Q63" s="5"/>
      <c r="R63" s="5"/>
      <c r="S63" s="5"/>
      <c r="T63" s="5"/>
      <c r="U63" s="5"/>
      <c r="V63" s="5"/>
      <c r="W63" s="1"/>
      <c r="X63" s="43" t="s">
        <v>430</v>
      </c>
      <c r="Y63" s="43" t="s">
        <v>430</v>
      </c>
      <c r="Z63" s="43" t="s">
        <v>430</v>
      </c>
      <c r="AA63" s="43" t="s">
        <v>273</v>
      </c>
      <c r="AB63" s="43" t="s">
        <v>273</v>
      </c>
      <c r="AC63" s="43" t="s">
        <v>273</v>
      </c>
      <c r="AD63" s="43" t="s">
        <v>273</v>
      </c>
      <c r="AE63" s="43" t="s">
        <v>273</v>
      </c>
      <c r="AF63" s="43" t="s">
        <v>273</v>
      </c>
      <c r="AG63" s="43" t="s">
        <v>233</v>
      </c>
      <c r="AH63" s="43" t="s">
        <v>233</v>
      </c>
      <c r="AI63" s="43"/>
      <c r="AJ63" s="43"/>
      <c r="AK63" s="43"/>
      <c r="AL63" s="43"/>
      <c r="AM63" s="43"/>
      <c r="AN63" s="44"/>
      <c r="AO63" s="43"/>
      <c r="AP63" s="43"/>
      <c r="AQ63" s="43"/>
      <c r="AR63" s="43"/>
      <c r="AS63" s="43"/>
      <c r="AT63" s="43"/>
      <c r="AU63" s="43"/>
      <c r="AV63" s="43"/>
      <c r="AW63" s="43"/>
      <c r="AX63" s="43"/>
      <c r="AY63" s="43"/>
      <c r="AZ63" s="43"/>
      <c r="BA63" s="43"/>
      <c r="BB63" s="43"/>
      <c r="BC63" s="43"/>
      <c r="BD63" s="43"/>
      <c r="BE63" s="43"/>
      <c r="BF63" s="43"/>
      <c r="BG63" s="43"/>
    </row>
    <row r="64" spans="2:59" ht="12.75">
      <c r="B64" s="2" t="s">
        <v>518</v>
      </c>
      <c r="C64" s="1">
        <f>E64*(VLOOKUP(D64,Race,2,FALSE)*(N64*init_bonus+O64+P64*front+Q64*Back+R64+S64*armour+SUM(T64:V64))*(Thrust_base+(I64/J64)/Thrust_div)*POWER(W64,Weapon_power))/(POWER(signature,(L64-M64)))*IF(K64="Y",gravitic,1)*IF(H64="Y",agile,1)/divisor</f>
        <v>1011.7784168379482</v>
      </c>
      <c r="D64" s="1" t="s">
        <v>508</v>
      </c>
      <c r="E64" s="52">
        <f>ROUND(1.4*POWER(1.03,(15-$L64)),1)</f>
        <v>1.6</v>
      </c>
      <c r="F64" s="52"/>
      <c r="G64" s="1">
        <v>0</v>
      </c>
      <c r="H64" s="52" t="s">
        <v>21</v>
      </c>
      <c r="I64" s="52">
        <v>10</v>
      </c>
      <c r="J64" s="52">
        <v>3</v>
      </c>
      <c r="K64" s="52" t="s">
        <v>2</v>
      </c>
      <c r="L64" s="52">
        <v>10</v>
      </c>
      <c r="M64" s="52">
        <v>9</v>
      </c>
      <c r="N64" s="52">
        <v>7</v>
      </c>
      <c r="O64" s="52">
        <v>60</v>
      </c>
      <c r="P64" s="52">
        <v>60</v>
      </c>
      <c r="Q64" s="52">
        <v>56</v>
      </c>
      <c r="R64" s="52">
        <v>0</v>
      </c>
      <c r="S64" s="52">
        <v>4</v>
      </c>
      <c r="T64" s="52"/>
      <c r="U64" s="52"/>
      <c r="V64" s="52"/>
      <c r="W64" s="1">
        <f>SUM(X64:BD64)*(num_weapons_base+num_weapons_mod*COUNT(X64:BD64))</f>
        <v>360.00628742514965</v>
      </c>
      <c r="X64" s="53">
        <f aca="true" t="shared" si="24" ref="X64:AH64">VLOOKUP(X63,weapon,2,FALSE)</f>
        <v>48.55149700598803</v>
      </c>
      <c r="Y64" s="53">
        <f t="shared" si="24"/>
        <v>48.55149700598803</v>
      </c>
      <c r="Z64" s="53">
        <f t="shared" si="24"/>
        <v>48.55149700598803</v>
      </c>
      <c r="AA64" s="53">
        <f t="shared" si="24"/>
        <v>17.325000000000003</v>
      </c>
      <c r="AB64" s="53">
        <f t="shared" si="24"/>
        <v>17.325000000000003</v>
      </c>
      <c r="AC64" s="53">
        <f t="shared" si="24"/>
        <v>17.325000000000003</v>
      </c>
      <c r="AD64" s="53">
        <f t="shared" si="24"/>
        <v>17.325000000000003</v>
      </c>
      <c r="AE64" s="53">
        <f t="shared" si="24"/>
        <v>17.325000000000003</v>
      </c>
      <c r="AF64" s="53">
        <f t="shared" si="24"/>
        <v>17.325000000000003</v>
      </c>
      <c r="AG64" s="53">
        <f t="shared" si="24"/>
        <v>3.771428571428572</v>
      </c>
      <c r="AH64" s="53">
        <f t="shared" si="24"/>
        <v>3.771428571428572</v>
      </c>
      <c r="AI64" s="53"/>
      <c r="AJ64" s="53"/>
      <c r="AK64" s="53"/>
      <c r="AL64" s="53"/>
      <c r="AM64" s="53"/>
      <c r="AN64" s="53"/>
      <c r="AO64" s="53"/>
      <c r="AP64" s="53"/>
      <c r="AQ64" s="53"/>
      <c r="AR64" s="53"/>
      <c r="AS64" s="53"/>
      <c r="AT64" s="53"/>
      <c r="AU64" s="53"/>
      <c r="AV64" s="53"/>
      <c r="AW64" s="53"/>
      <c r="AX64" s="53"/>
      <c r="AY64" s="43"/>
      <c r="AZ64" s="43"/>
      <c r="BA64" s="43"/>
      <c r="BB64" s="43"/>
      <c r="BC64" s="43"/>
      <c r="BD64" s="43"/>
      <c r="BE64" s="43"/>
      <c r="BF64" s="43"/>
      <c r="BG64" s="43"/>
    </row>
    <row r="65" spans="2:59" ht="12.75">
      <c r="B65" s="2"/>
      <c r="C65" s="42"/>
      <c r="D65" s="42"/>
      <c r="E65" s="5"/>
      <c r="F65" s="5"/>
      <c r="G65" s="7"/>
      <c r="H65" s="5"/>
      <c r="I65" s="5"/>
      <c r="J65" s="5"/>
      <c r="K65" s="5"/>
      <c r="L65" s="5"/>
      <c r="M65" s="5"/>
      <c r="N65" s="5"/>
      <c r="O65" s="5"/>
      <c r="P65" s="5"/>
      <c r="Q65" s="5"/>
      <c r="R65" s="5"/>
      <c r="S65" s="5"/>
      <c r="T65" s="5"/>
      <c r="U65" s="5"/>
      <c r="V65" s="5"/>
      <c r="W65" s="1"/>
      <c r="X65" s="43" t="s">
        <v>276</v>
      </c>
      <c r="Y65" s="43" t="s">
        <v>276</v>
      </c>
      <c r="Z65" s="43" t="s">
        <v>273</v>
      </c>
      <c r="AA65" s="43" t="s">
        <v>273</v>
      </c>
      <c r="AB65" s="43" t="s">
        <v>273</v>
      </c>
      <c r="AC65" s="43" t="s">
        <v>273</v>
      </c>
      <c r="AD65" s="43" t="s">
        <v>306</v>
      </c>
      <c r="AE65" s="43" t="s">
        <v>306</v>
      </c>
      <c r="AF65" s="43" t="s">
        <v>306</v>
      </c>
      <c r="AG65" s="43" t="s">
        <v>306</v>
      </c>
      <c r="AH65" s="43" t="s">
        <v>306</v>
      </c>
      <c r="AI65" s="43" t="s">
        <v>306</v>
      </c>
      <c r="AJ65" s="43" t="s">
        <v>306</v>
      </c>
      <c r="AK65" s="43" t="s">
        <v>306</v>
      </c>
      <c r="AL65" s="43" t="s">
        <v>306</v>
      </c>
      <c r="AM65" s="43" t="s">
        <v>306</v>
      </c>
      <c r="AN65" s="43" t="s">
        <v>306</v>
      </c>
      <c r="AO65" s="43" t="s">
        <v>306</v>
      </c>
      <c r="AP65" s="43" t="s">
        <v>306</v>
      </c>
      <c r="AQ65" s="43" t="s">
        <v>306</v>
      </c>
      <c r="AR65" s="43" t="s">
        <v>306</v>
      </c>
      <c r="AS65" s="43" t="s">
        <v>306</v>
      </c>
      <c r="AT65" s="43" t="s">
        <v>306</v>
      </c>
      <c r="AU65" s="43" t="s">
        <v>306</v>
      </c>
      <c r="AV65" s="43" t="s">
        <v>306</v>
      </c>
      <c r="AW65" s="43" t="s">
        <v>306</v>
      </c>
      <c r="AX65" s="43" t="s">
        <v>306</v>
      </c>
      <c r="AY65" s="43"/>
      <c r="AZ65" s="43"/>
      <c r="BA65" s="43"/>
      <c r="BB65" s="43"/>
      <c r="BC65" s="43"/>
      <c r="BD65" s="43"/>
      <c r="BE65" s="43"/>
      <c r="BF65" s="43"/>
      <c r="BG65" s="43"/>
    </row>
    <row r="66" spans="2:59" ht="12.75">
      <c r="B66" s="2" t="s">
        <v>519</v>
      </c>
      <c r="C66" s="1">
        <f>E66*(VLOOKUP(D66,Race,2,FALSE)*(N66*init_bonus+O66+P66*front+Q66*Back+R66+S66*armour+SUM(T66:V66))*(Thrust_base+(I66/J66)/Thrust_div)*POWER(W66,Weapon_power))/(POWER(signature,(L66-M66)))*IF(K66="Y",gravitic,1)*IF(H66="Y",agile,1)/divisor</f>
        <v>234.46383018812156</v>
      </c>
      <c r="D66" s="1" t="s">
        <v>508</v>
      </c>
      <c r="E66" s="52">
        <f>ROUND(1.4*POWER(1.03,(15-$L66)),1)</f>
        <v>1.6</v>
      </c>
      <c r="F66" s="52"/>
      <c r="G66" s="1">
        <v>0</v>
      </c>
      <c r="H66" s="52" t="s">
        <v>21</v>
      </c>
      <c r="I66" s="52">
        <v>8</v>
      </c>
      <c r="J66" s="52">
        <v>3</v>
      </c>
      <c r="K66" s="52" t="s">
        <v>2</v>
      </c>
      <c r="L66" s="52">
        <v>11</v>
      </c>
      <c r="M66" s="52">
        <v>8</v>
      </c>
      <c r="N66" s="52">
        <v>13</v>
      </c>
      <c r="O66" s="52">
        <v>60</v>
      </c>
      <c r="P66" s="52">
        <v>0</v>
      </c>
      <c r="Q66" s="52">
        <v>0</v>
      </c>
      <c r="R66" s="52">
        <v>0</v>
      </c>
      <c r="S66" s="52">
        <v>4</v>
      </c>
      <c r="T66" s="52"/>
      <c r="U66" s="52"/>
      <c r="V66" s="52"/>
      <c r="W66" s="1">
        <f>SUM(X66:BD66)*(num_weapons_base+num_weapons_mod*COUNT(X66:BD66))</f>
        <v>127.61733600000001</v>
      </c>
      <c r="X66" s="53">
        <f aca="true" t="shared" si="25" ref="X66:AC66">VLOOKUP(X65,weapon,2,FALSE)</f>
        <v>18.52389</v>
      </c>
      <c r="Y66" s="53">
        <f t="shared" si="25"/>
        <v>18.52389</v>
      </c>
      <c r="Z66" s="53">
        <f t="shared" si="25"/>
        <v>17.325000000000003</v>
      </c>
      <c r="AA66" s="53">
        <f t="shared" si="25"/>
        <v>17.325000000000003</v>
      </c>
      <c r="AB66" s="53">
        <f t="shared" si="25"/>
        <v>17.325000000000003</v>
      </c>
      <c r="AC66" s="53">
        <f t="shared" si="25"/>
        <v>17.325000000000003</v>
      </c>
      <c r="AD66" s="53"/>
      <c r="AE66" s="53"/>
      <c r="AF66" s="53"/>
      <c r="AG66" s="53"/>
      <c r="AH66" s="53"/>
      <c r="AI66" s="53"/>
      <c r="AJ66" s="53"/>
      <c r="AK66" s="53"/>
      <c r="AL66" s="53"/>
      <c r="AM66" s="53"/>
      <c r="AN66" s="53"/>
      <c r="AO66" s="53"/>
      <c r="AP66" s="53"/>
      <c r="AQ66" s="53"/>
      <c r="AR66" s="53"/>
      <c r="AS66" s="53"/>
      <c r="AT66" s="53"/>
      <c r="AU66" s="53"/>
      <c r="AV66" s="53"/>
      <c r="AW66" s="53"/>
      <c r="AX66" s="53"/>
      <c r="AY66" s="43"/>
      <c r="AZ66" s="43"/>
      <c r="BA66" s="43"/>
      <c r="BB66" s="43"/>
      <c r="BC66" s="43"/>
      <c r="BD66" s="43"/>
      <c r="BE66" s="43"/>
      <c r="BF66" s="43"/>
      <c r="BG66" s="43"/>
    </row>
    <row r="67" spans="2:59" ht="12.75">
      <c r="B67" s="2"/>
      <c r="C67" s="42"/>
      <c r="D67" s="42"/>
      <c r="E67" s="5"/>
      <c r="F67" s="5"/>
      <c r="G67" s="7"/>
      <c r="H67" s="5"/>
      <c r="I67" s="5"/>
      <c r="J67" s="5"/>
      <c r="K67" s="5"/>
      <c r="L67" s="5"/>
      <c r="M67" s="5"/>
      <c r="N67" s="5"/>
      <c r="O67" s="5"/>
      <c r="P67" s="5"/>
      <c r="Q67" s="5"/>
      <c r="R67" s="5"/>
      <c r="S67" s="5"/>
      <c r="T67" s="5"/>
      <c r="U67" s="5"/>
      <c r="V67" s="5"/>
      <c r="W67" s="1"/>
      <c r="X67" s="43" t="s">
        <v>190</v>
      </c>
      <c r="Y67" s="43" t="s">
        <v>190</v>
      </c>
      <c r="Z67" s="43" t="s">
        <v>190</v>
      </c>
      <c r="AA67" s="43" t="s">
        <v>190</v>
      </c>
      <c r="AB67" s="43" t="s">
        <v>190</v>
      </c>
      <c r="AC67" s="43" t="s">
        <v>190</v>
      </c>
      <c r="AD67" s="43" t="s">
        <v>273</v>
      </c>
      <c r="AE67" s="43" t="s">
        <v>273</v>
      </c>
      <c r="AF67" s="43" t="s">
        <v>273</v>
      </c>
      <c r="AG67" s="43" t="s">
        <v>273</v>
      </c>
      <c r="AH67" s="43" t="s">
        <v>273</v>
      </c>
      <c r="AI67" s="43" t="s">
        <v>273</v>
      </c>
      <c r="AJ67" s="43" t="s">
        <v>306</v>
      </c>
      <c r="AK67" s="43" t="s">
        <v>306</v>
      </c>
      <c r="AL67" s="43" t="s">
        <v>306</v>
      </c>
      <c r="AM67" s="43" t="s">
        <v>306</v>
      </c>
      <c r="AN67" s="43" t="s">
        <v>306</v>
      </c>
      <c r="AO67" s="43" t="s">
        <v>306</v>
      </c>
      <c r="AP67" s="43" t="s">
        <v>306</v>
      </c>
      <c r="AQ67" s="43" t="s">
        <v>306</v>
      </c>
      <c r="AR67" s="43" t="s">
        <v>306</v>
      </c>
      <c r="AS67" s="43" t="s">
        <v>306</v>
      </c>
      <c r="AT67" s="43" t="s">
        <v>306</v>
      </c>
      <c r="AU67" s="43" t="s">
        <v>306</v>
      </c>
      <c r="AV67" s="43" t="s">
        <v>306</v>
      </c>
      <c r="AW67" s="43" t="s">
        <v>306</v>
      </c>
      <c r="AX67" s="43" t="s">
        <v>306</v>
      </c>
      <c r="AY67" s="43"/>
      <c r="AZ67" s="43"/>
      <c r="BA67" s="43"/>
      <c r="BB67" s="43"/>
      <c r="BC67" s="43"/>
      <c r="BD67" s="43"/>
      <c r="BE67" s="43"/>
      <c r="BF67" s="43"/>
      <c r="BG67" s="43"/>
    </row>
    <row r="68" spans="2:59" ht="12.75">
      <c r="B68" s="2" t="s">
        <v>520</v>
      </c>
      <c r="C68" s="1">
        <f>E68*(VLOOKUP(D68,Race,2,FALSE)*(N68*init_bonus+O68+P68*front+Q68*Back+R68+S68*armour+SUM(T68:V68))*(Thrust_base+(I68/J68)/Thrust_div)*POWER(W68,Weapon_power))/(POWER(signature,(L68-M68)))*IF(K68="Y",gravitic,1)*IF(H68="Y",agile,1)/divisor</f>
        <v>1211.205375622507</v>
      </c>
      <c r="D68" s="1" t="s">
        <v>508</v>
      </c>
      <c r="E68" s="52">
        <f>ROUND(1.4*POWER(1.03,(15-$L68)),1)</f>
        <v>1.5</v>
      </c>
      <c r="F68" s="52"/>
      <c r="G68" s="1">
        <v>0</v>
      </c>
      <c r="H68" s="52" t="s">
        <v>21</v>
      </c>
      <c r="I68" s="52">
        <v>9</v>
      </c>
      <c r="J68" s="52">
        <v>4</v>
      </c>
      <c r="K68" s="52" t="s">
        <v>2</v>
      </c>
      <c r="L68" s="52">
        <v>13</v>
      </c>
      <c r="M68" s="52">
        <v>11</v>
      </c>
      <c r="N68" s="52">
        <v>1</v>
      </c>
      <c r="O68" s="52">
        <v>50</v>
      </c>
      <c r="P68" s="52">
        <v>44</v>
      </c>
      <c r="Q68" s="52">
        <v>44</v>
      </c>
      <c r="R68" s="52">
        <v>60</v>
      </c>
      <c r="S68" s="52">
        <v>7</v>
      </c>
      <c r="T68" s="52"/>
      <c r="U68" s="52"/>
      <c r="V68" s="52"/>
      <c r="W68" s="1">
        <f>SUM(X68:BD68)*(num_weapons_base+num_weapons_mod*COUNT(X68:BD68))</f>
        <v>421.2308571428571</v>
      </c>
      <c r="X68" s="53">
        <f aca="true" t="shared" si="26" ref="X68:AI68">VLOOKUP(X67,weapon,2,FALSE)</f>
        <v>31.428571428571434</v>
      </c>
      <c r="Y68" s="53">
        <f t="shared" si="26"/>
        <v>31.428571428571434</v>
      </c>
      <c r="Z68" s="53">
        <f t="shared" si="26"/>
        <v>31.428571428571434</v>
      </c>
      <c r="AA68" s="53">
        <f t="shared" si="26"/>
        <v>31.428571428571434</v>
      </c>
      <c r="AB68" s="53">
        <f t="shared" si="26"/>
        <v>31.428571428571434</v>
      </c>
      <c r="AC68" s="53">
        <f t="shared" si="26"/>
        <v>31.428571428571434</v>
      </c>
      <c r="AD68" s="53">
        <f t="shared" si="26"/>
        <v>17.325000000000003</v>
      </c>
      <c r="AE68" s="53">
        <f t="shared" si="26"/>
        <v>17.325000000000003</v>
      </c>
      <c r="AF68" s="53">
        <f t="shared" si="26"/>
        <v>17.325000000000003</v>
      </c>
      <c r="AG68" s="53">
        <f t="shared" si="26"/>
        <v>17.325000000000003</v>
      </c>
      <c r="AH68" s="53">
        <f t="shared" si="26"/>
        <v>17.325000000000003</v>
      </c>
      <c r="AI68" s="53">
        <f t="shared" si="26"/>
        <v>17.325000000000003</v>
      </c>
      <c r="AJ68" s="53"/>
      <c r="AK68" s="53"/>
      <c r="AL68" s="53"/>
      <c r="AM68" s="53"/>
      <c r="AN68" s="53"/>
      <c r="AO68" s="53"/>
      <c r="AP68" s="53"/>
      <c r="AQ68" s="53"/>
      <c r="AR68" s="53"/>
      <c r="AS68" s="53"/>
      <c r="AT68" s="53"/>
      <c r="AU68" s="53"/>
      <c r="AV68" s="53"/>
      <c r="AW68" s="53"/>
      <c r="AX68" s="53"/>
      <c r="AY68" s="43"/>
      <c r="AZ68" s="43"/>
      <c r="BA68" s="43"/>
      <c r="BB68" s="43"/>
      <c r="BC68" s="43"/>
      <c r="BD68" s="43"/>
      <c r="BE68" s="43"/>
      <c r="BF68" s="43"/>
      <c r="BG68" s="43"/>
    </row>
    <row r="69" spans="2:59" ht="12.75">
      <c r="B69" s="2"/>
      <c r="C69" s="42"/>
      <c r="D69" s="42"/>
      <c r="E69" s="5"/>
      <c r="F69" s="5"/>
      <c r="G69" s="7"/>
      <c r="H69" s="5"/>
      <c r="I69" s="5"/>
      <c r="J69" s="5"/>
      <c r="K69" s="5"/>
      <c r="L69" s="5"/>
      <c r="M69" s="5"/>
      <c r="N69" s="5"/>
      <c r="O69" s="5"/>
      <c r="P69" s="5"/>
      <c r="Q69" s="5"/>
      <c r="R69" s="5"/>
      <c r="S69" s="5"/>
      <c r="T69" s="5"/>
      <c r="U69" s="5"/>
      <c r="V69" s="5"/>
      <c r="W69" s="1"/>
      <c r="X69" s="43" t="s">
        <v>425</v>
      </c>
      <c r="Y69" s="43" t="s">
        <v>356</v>
      </c>
      <c r="Z69" s="43" t="s">
        <v>356</v>
      </c>
      <c r="AA69" s="43" t="s">
        <v>301</v>
      </c>
      <c r="AB69" s="43" t="s">
        <v>301</v>
      </c>
      <c r="AC69" s="43" t="s">
        <v>306</v>
      </c>
      <c r="AD69" s="43" t="s">
        <v>306</v>
      </c>
      <c r="AE69" s="43" t="s">
        <v>306</v>
      </c>
      <c r="AF69" s="43" t="s">
        <v>306</v>
      </c>
      <c r="AG69" s="43" t="s">
        <v>306</v>
      </c>
      <c r="AH69" s="43" t="s">
        <v>306</v>
      </c>
      <c r="AI69" s="43" t="s">
        <v>306</v>
      </c>
      <c r="AJ69" s="43" t="s">
        <v>306</v>
      </c>
      <c r="AK69" s="43" t="s">
        <v>306</v>
      </c>
      <c r="AL69" s="43" t="s">
        <v>306</v>
      </c>
      <c r="AM69" s="43" t="s">
        <v>306</v>
      </c>
      <c r="AN69" s="43" t="s">
        <v>306</v>
      </c>
      <c r="AO69" s="43" t="s">
        <v>306</v>
      </c>
      <c r="AP69" s="43" t="s">
        <v>306</v>
      </c>
      <c r="AQ69" s="43" t="s">
        <v>306</v>
      </c>
      <c r="AR69" s="43" t="s">
        <v>306</v>
      </c>
      <c r="AS69" s="43" t="s">
        <v>306</v>
      </c>
      <c r="AT69" s="43" t="s">
        <v>306</v>
      </c>
      <c r="AU69" s="43" t="s">
        <v>306</v>
      </c>
      <c r="AV69" s="43" t="s">
        <v>306</v>
      </c>
      <c r="AW69" s="43" t="s">
        <v>306</v>
      </c>
      <c r="AX69" s="43" t="s">
        <v>306</v>
      </c>
      <c r="AY69" s="43"/>
      <c r="AZ69" s="43"/>
      <c r="BA69" s="43"/>
      <c r="BB69" s="43"/>
      <c r="BC69" s="43"/>
      <c r="BD69" s="43"/>
      <c r="BE69" s="43"/>
      <c r="BF69" s="43"/>
      <c r="BG69" s="43"/>
    </row>
    <row r="70" spans="2:59" ht="12.75">
      <c r="B70" s="2" t="s">
        <v>521</v>
      </c>
      <c r="C70" s="1">
        <f>E70*(VLOOKUP(D70,Race,2,FALSE)*(N70*init_bonus+O70+P70*front+Q70*Back+R70+S70*armour+SUM(T70:V70))*(Thrust_base+(I70/J70)/Thrust_div)*POWER(W70,Weapon_power))/(POWER(signature,(L70-M70)))*IF(K70="Y",gravitic,1)*IF(H70="Y",agile,1)/divisor</f>
        <v>298.49324418221397</v>
      </c>
      <c r="D70" s="1" t="s">
        <v>508</v>
      </c>
      <c r="E70" s="52">
        <v>1</v>
      </c>
      <c r="F70" s="52"/>
      <c r="G70" s="1">
        <v>0</v>
      </c>
      <c r="H70" s="52" t="s">
        <v>2</v>
      </c>
      <c r="I70" s="52">
        <v>12</v>
      </c>
      <c r="J70" s="52">
        <v>2</v>
      </c>
      <c r="K70" s="52" t="s">
        <v>2</v>
      </c>
      <c r="L70" s="52">
        <v>5</v>
      </c>
      <c r="M70" s="52">
        <v>9</v>
      </c>
      <c r="N70" s="52">
        <v>13</v>
      </c>
      <c r="O70" s="52">
        <v>48</v>
      </c>
      <c r="P70" s="52">
        <v>0</v>
      </c>
      <c r="Q70" s="52">
        <v>0</v>
      </c>
      <c r="R70" s="52">
        <v>0</v>
      </c>
      <c r="S70" s="52">
        <v>2</v>
      </c>
      <c r="T70" s="52"/>
      <c r="U70" s="52"/>
      <c r="V70" s="52"/>
      <c r="W70" s="1">
        <f>SUM(X70:BD70)*(num_weapons_base+num_weapons_mod*COUNT(X70:BD70))</f>
        <v>163.01362673924876</v>
      </c>
      <c r="X70" s="53">
        <f>VLOOKUP(X69,weapon,2,FALSE)</f>
        <v>49.29844311377246</v>
      </c>
      <c r="Y70" s="53">
        <f>VLOOKUP(Y69,weapon,2,FALSE)</f>
        <v>29.807999999999993</v>
      </c>
      <c r="Z70" s="53">
        <f>VLOOKUP(Z69,weapon,2,FALSE)</f>
        <v>29.807999999999993</v>
      </c>
      <c r="AA70" s="53">
        <f>VLOOKUP(AA69,weapon,2,FALSE)</f>
        <v>15.807272727272727</v>
      </c>
      <c r="AB70" s="53">
        <f>VLOOKUP(AB69,weapon,2,FALSE)</f>
        <v>15.807272727272727</v>
      </c>
      <c r="AC70" s="53"/>
      <c r="AD70" s="53"/>
      <c r="AE70" s="53"/>
      <c r="AF70" s="53"/>
      <c r="AG70" s="53"/>
      <c r="AH70" s="53"/>
      <c r="AI70" s="53"/>
      <c r="AJ70" s="53"/>
      <c r="AK70" s="53"/>
      <c r="AL70" s="53"/>
      <c r="AM70" s="53"/>
      <c r="AN70" s="53"/>
      <c r="AO70" s="53"/>
      <c r="AP70" s="53"/>
      <c r="AQ70" s="53"/>
      <c r="AR70" s="53"/>
      <c r="AS70" s="53"/>
      <c r="AT70" s="53"/>
      <c r="AU70" s="53"/>
      <c r="AV70" s="53"/>
      <c r="AW70" s="53"/>
      <c r="AX70" s="53"/>
      <c r="AY70" s="43"/>
      <c r="AZ70" s="43"/>
      <c r="BA70" s="43"/>
      <c r="BB70" s="43"/>
      <c r="BC70" s="43"/>
      <c r="BD70" s="43"/>
      <c r="BE70" s="43"/>
      <c r="BF70" s="43"/>
      <c r="BG70" s="43"/>
    </row>
    <row r="71" spans="2:59" ht="12.75">
      <c r="B71" s="2"/>
      <c r="C71" s="42"/>
      <c r="D71" s="42"/>
      <c r="E71" s="5"/>
      <c r="F71" s="5"/>
      <c r="G71" s="7"/>
      <c r="H71" s="5"/>
      <c r="I71" s="5"/>
      <c r="J71" s="5"/>
      <c r="K71" s="5"/>
      <c r="L71" s="5"/>
      <c r="M71" s="5"/>
      <c r="N71" s="5"/>
      <c r="O71" s="5"/>
      <c r="P71" s="5"/>
      <c r="Q71" s="5"/>
      <c r="R71" s="5"/>
      <c r="S71" s="5"/>
      <c r="T71" s="5"/>
      <c r="U71" s="5"/>
      <c r="V71" s="5"/>
      <c r="W71" s="1"/>
      <c r="X71" s="43" t="s">
        <v>87</v>
      </c>
      <c r="Y71" s="43"/>
      <c r="Z71" s="43"/>
      <c r="AA71" s="43"/>
      <c r="AB71" s="43"/>
      <c r="AC71" s="43"/>
      <c r="AD71" s="43"/>
      <c r="AE71" s="43"/>
      <c r="AF71" s="43"/>
      <c r="AG71" s="43"/>
      <c r="AH71" s="43"/>
      <c r="AI71" s="43"/>
      <c r="AJ71" s="43"/>
      <c r="AK71" s="43"/>
      <c r="AL71" s="43"/>
      <c r="AM71" s="43"/>
      <c r="AN71" s="44"/>
      <c r="AO71" s="43"/>
      <c r="AP71" s="43"/>
      <c r="AQ71" s="43"/>
      <c r="AR71" s="43"/>
      <c r="AS71" s="43"/>
      <c r="AT71" s="43"/>
      <c r="AU71" s="43"/>
      <c r="AV71" s="43"/>
      <c r="AW71" s="43"/>
      <c r="AX71" s="43"/>
      <c r="AY71" s="43"/>
      <c r="AZ71" s="43"/>
      <c r="BA71" s="43"/>
      <c r="BB71" s="43"/>
      <c r="BC71" s="43"/>
      <c r="BD71" s="43"/>
      <c r="BE71" s="43"/>
      <c r="BF71" s="43"/>
      <c r="BG71" s="43"/>
    </row>
    <row r="72" spans="2:59" ht="12.75">
      <c r="B72" s="2" t="s">
        <v>87</v>
      </c>
      <c r="C72" s="1">
        <f>E72*(VLOOKUP(D72,Race,2,FALSE)*(N72*init_bonus+O72+P72*front+Q72*Back+R72+S72*armour+SUM(T72:V72))*(Thrust_base+(I72/J72)/Thrust_div)*POWER(W72,Weapon_power))/(POWER(signature,(L72-M72)))*IF(K72="Y",gravitic,1)*IF(H72="Y",agile,1)/divisor</f>
        <v>27.846255161430726</v>
      </c>
      <c r="D72" s="1" t="s">
        <v>508</v>
      </c>
      <c r="E72" s="52">
        <f>ROUND(1.4*POWER(1.03,(15-$L72)),1)</f>
        <v>2.5</v>
      </c>
      <c r="F72" s="52"/>
      <c r="G72" s="1">
        <v>0</v>
      </c>
      <c r="H72" s="52" t="s">
        <v>2</v>
      </c>
      <c r="I72" s="52">
        <v>14</v>
      </c>
      <c r="J72" s="52">
        <v>1</v>
      </c>
      <c r="K72" s="52" t="s">
        <v>2</v>
      </c>
      <c r="L72" s="52">
        <v>-5</v>
      </c>
      <c r="M72" s="52">
        <v>4</v>
      </c>
      <c r="N72" s="52">
        <v>17</v>
      </c>
      <c r="O72" s="52">
        <v>5</v>
      </c>
      <c r="P72" s="52">
        <v>0</v>
      </c>
      <c r="Q72" s="52">
        <v>0</v>
      </c>
      <c r="R72" s="52">
        <v>0</v>
      </c>
      <c r="S72" s="52">
        <v>0</v>
      </c>
      <c r="T72" s="52"/>
      <c r="U72" s="52"/>
      <c r="V72" s="52"/>
      <c r="W72" s="1">
        <f>SUM(X72:BD72)*(num_weapons_base+num_weapons_mod*COUNT(X72:BD72))</f>
        <v>6.292000000000002</v>
      </c>
      <c r="X72" s="53">
        <f>VLOOKUP(X71,weapon,2,FALSE)</f>
        <v>6.292000000000002</v>
      </c>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43"/>
      <c r="AZ72" s="43"/>
      <c r="BA72" s="43"/>
      <c r="BB72" s="43"/>
      <c r="BC72" s="43"/>
      <c r="BD72" s="43"/>
      <c r="BE72" s="43"/>
      <c r="BF72" s="43"/>
      <c r="BG72" s="43"/>
    </row>
    <row r="73" spans="3:59" ht="12.75">
      <c r="C73" s="42"/>
      <c r="D73" s="42"/>
      <c r="E73" s="5"/>
      <c r="F73" s="5"/>
      <c r="G73" s="7"/>
      <c r="H73" s="5"/>
      <c r="I73" s="5"/>
      <c r="J73" s="5"/>
      <c r="K73" s="5"/>
      <c r="L73" s="5"/>
      <c r="M73" s="5"/>
      <c r="N73" s="5"/>
      <c r="O73" s="5"/>
      <c r="P73" s="5"/>
      <c r="Q73" s="5"/>
      <c r="R73" s="5"/>
      <c r="S73" s="5"/>
      <c r="T73" s="5"/>
      <c r="U73" s="5"/>
      <c r="V73" s="5"/>
      <c r="W73" s="1"/>
      <c r="X73" s="43" t="s">
        <v>85</v>
      </c>
      <c r="Y73" s="43"/>
      <c r="Z73" s="43"/>
      <c r="AA73" s="43"/>
      <c r="AB73" s="43"/>
      <c r="AC73" s="43"/>
      <c r="AD73" s="43"/>
      <c r="AE73" s="43"/>
      <c r="AF73" s="43"/>
      <c r="AG73" s="43"/>
      <c r="AH73" s="43"/>
      <c r="AI73" s="43"/>
      <c r="AJ73" s="43"/>
      <c r="AK73" s="43"/>
      <c r="AL73" s="43"/>
      <c r="AM73" s="43"/>
      <c r="AN73" s="44"/>
      <c r="AO73" s="43"/>
      <c r="AP73" s="43"/>
      <c r="AQ73" s="43"/>
      <c r="AR73" s="43"/>
      <c r="AS73" s="43"/>
      <c r="AT73" s="43"/>
      <c r="AU73" s="43"/>
      <c r="AV73" s="43"/>
      <c r="AW73" s="43"/>
      <c r="AX73" s="43"/>
      <c r="AY73" s="43"/>
      <c r="AZ73" s="43"/>
      <c r="BA73" s="43"/>
      <c r="BB73" s="43"/>
      <c r="BC73" s="43"/>
      <c r="BD73" s="43"/>
      <c r="BE73" s="43"/>
      <c r="BF73" s="43"/>
      <c r="BG73" s="43"/>
    </row>
    <row r="74" spans="2:59" ht="12.75">
      <c r="B74" s="2" t="s">
        <v>85</v>
      </c>
      <c r="C74" s="1">
        <f>E74*(VLOOKUP(D74,Race,2,FALSE)*(N74*init_bonus+O74+P74*front+Q74*Back+R74+S74*armour+SUM(T74:V74))*(Thrust_base+(I74/J74)/Thrust_div)*POWER(W74,Weapon_power))/(POWER(signature,(L74-M74)))*IF(K74="Y",gravitic,1)*IF(H74="Y",agile,1)/divisor</f>
        <v>14.653599974369515</v>
      </c>
      <c r="D74" s="1" t="s">
        <v>508</v>
      </c>
      <c r="E74" s="52">
        <f>ROUND(1.4*POWER(1.03,(15-$L74)),1)</f>
        <v>2.6</v>
      </c>
      <c r="F74" s="52"/>
      <c r="G74" s="1">
        <v>0</v>
      </c>
      <c r="H74" s="52" t="s">
        <v>2</v>
      </c>
      <c r="I74" s="52">
        <v>14</v>
      </c>
      <c r="J74" s="52">
        <v>1</v>
      </c>
      <c r="K74" s="52" t="s">
        <v>2</v>
      </c>
      <c r="L74" s="52">
        <v>-6</v>
      </c>
      <c r="M74" s="52">
        <v>4</v>
      </c>
      <c r="N74" s="52">
        <v>19</v>
      </c>
      <c r="O74" s="52">
        <v>3</v>
      </c>
      <c r="P74" s="52">
        <v>0</v>
      </c>
      <c r="Q74" s="52">
        <v>0</v>
      </c>
      <c r="R74" s="52">
        <v>0</v>
      </c>
      <c r="S74" s="52">
        <v>0</v>
      </c>
      <c r="T74" s="52"/>
      <c r="U74" s="52"/>
      <c r="V74" s="52"/>
      <c r="W74" s="1">
        <f>SUM(X74:BD74)*(num_weapons_base+num_weapons_mod*COUNT(X74:BD74))</f>
        <v>2.8600000000000003</v>
      </c>
      <c r="X74" s="53">
        <f>VLOOKUP(X73,weapon,2,FALSE)</f>
        <v>2.8600000000000003</v>
      </c>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43"/>
      <c r="AZ74" s="43"/>
      <c r="BA74" s="43"/>
      <c r="BB74" s="43"/>
      <c r="BC74" s="43"/>
      <c r="BD74" s="43"/>
      <c r="BE74" s="43"/>
      <c r="BF74" s="43"/>
      <c r="BG74" s="43"/>
    </row>
    <row r="75" spans="1:59" s="191" customFormat="1" ht="12.75">
      <c r="A75" s="189" t="s">
        <v>522</v>
      </c>
      <c r="C75" s="42"/>
      <c r="D75" s="192"/>
      <c r="E75" s="198"/>
      <c r="F75" s="198"/>
      <c r="G75" s="125"/>
      <c r="H75" s="198"/>
      <c r="I75" s="198"/>
      <c r="J75" s="198"/>
      <c r="K75" s="198"/>
      <c r="L75" s="198"/>
      <c r="M75" s="198"/>
      <c r="N75" s="198"/>
      <c r="O75" s="198"/>
      <c r="P75" s="198"/>
      <c r="Q75" s="198"/>
      <c r="R75" s="198"/>
      <c r="S75" s="198"/>
      <c r="T75" s="198"/>
      <c r="U75" s="198"/>
      <c r="V75" s="198"/>
      <c r="W75" s="190"/>
      <c r="X75" s="196"/>
      <c r="Y75" s="196"/>
      <c r="Z75" s="196"/>
      <c r="AA75" s="196"/>
      <c r="AB75" s="196"/>
      <c r="AC75" s="196"/>
      <c r="AD75" s="196"/>
      <c r="AE75" s="196"/>
      <c r="AF75" s="196"/>
      <c r="AG75" s="196"/>
      <c r="AH75" s="196"/>
      <c r="AI75" s="196"/>
      <c r="AJ75" s="196"/>
      <c r="AK75" s="196"/>
      <c r="AL75" s="196"/>
      <c r="AM75" s="196"/>
      <c r="AN75" s="198"/>
      <c r="AO75" s="196"/>
      <c r="AP75" s="196"/>
      <c r="AQ75" s="196"/>
      <c r="AR75" s="196"/>
      <c r="AS75" s="196"/>
      <c r="AT75" s="196"/>
      <c r="AU75" s="196"/>
      <c r="AV75" s="196"/>
      <c r="AW75" s="196"/>
      <c r="AX75" s="196"/>
      <c r="AY75" s="196"/>
      <c r="AZ75" s="196"/>
      <c r="BA75" s="196"/>
      <c r="BB75" s="196"/>
      <c r="BC75" s="196"/>
      <c r="BD75" s="196"/>
      <c r="BE75" s="196"/>
      <c r="BF75" s="196"/>
      <c r="BG75" s="196"/>
    </row>
    <row r="76" spans="2:59" s="191" customFormat="1" ht="12.75">
      <c r="B76" s="189"/>
      <c r="C76" s="1" t="e">
        <f>E76*(VLOOKUP(D76,Race,2,FALSE)*(N76*init_bonus+O76+P76*front+Q76*Back+R76+S76*armour+SUM(T76:V76))*(Thrust_base+(I76/J76)/Thrust_div)*POWER(W76,Weapon_power))/(POWER(signature,(L76-M76)))*IF(K76="Y",gravitic,1)*IF(H76="Y",agile,1)/divisor</f>
        <v>#N/A</v>
      </c>
      <c r="D76" s="198"/>
      <c r="E76" s="195"/>
      <c r="F76" s="195"/>
      <c r="G76" s="125"/>
      <c r="H76" s="195"/>
      <c r="I76" s="195"/>
      <c r="J76" s="195"/>
      <c r="K76" s="198"/>
      <c r="L76" s="198"/>
      <c r="M76" s="198"/>
      <c r="N76" s="198"/>
      <c r="O76" s="198"/>
      <c r="P76" s="198"/>
      <c r="Q76" s="198"/>
      <c r="R76" s="198"/>
      <c r="S76" s="198"/>
      <c r="T76" s="198"/>
      <c r="U76" s="198" t="s">
        <v>961</v>
      </c>
      <c r="V76" s="198"/>
      <c r="W76" s="190">
        <f>SUM(X76:BD76)*(num_weapons_base+num_weapons_mod*COUNT(X76:BD76))</f>
        <v>0</v>
      </c>
      <c r="X76" s="196"/>
      <c r="Y76" s="196"/>
      <c r="Z76" s="196"/>
      <c r="AA76" s="196"/>
      <c r="AB76" s="196"/>
      <c r="AC76" s="196"/>
      <c r="AD76" s="196"/>
      <c r="AE76" s="196"/>
      <c r="AF76" s="196"/>
      <c r="AG76" s="196"/>
      <c r="AH76" s="196"/>
      <c r="AI76" s="196"/>
      <c r="AJ76" s="196"/>
      <c r="AK76" s="196"/>
      <c r="AL76" s="196"/>
      <c r="AM76" s="196"/>
      <c r="AN76" s="198"/>
      <c r="AO76" s="196"/>
      <c r="AP76" s="196"/>
      <c r="AQ76" s="196"/>
      <c r="AR76" s="196"/>
      <c r="AS76" s="196"/>
      <c r="AT76" s="196"/>
      <c r="AU76" s="196"/>
      <c r="AV76" s="196"/>
      <c r="AW76" s="196"/>
      <c r="AX76" s="196"/>
      <c r="AY76" s="196"/>
      <c r="AZ76" s="196"/>
      <c r="BA76" s="196"/>
      <c r="BB76" s="196"/>
      <c r="BC76" s="196"/>
      <c r="BD76" s="196"/>
      <c r="BE76" s="196"/>
      <c r="BF76" s="196"/>
      <c r="BG76" s="196"/>
    </row>
    <row r="77" spans="1:59" s="191" customFormat="1" ht="12.75">
      <c r="A77" s="141"/>
      <c r="B77" s="135"/>
      <c r="C77" s="42"/>
      <c r="D77" s="214"/>
      <c r="E77" s="136"/>
      <c r="F77" s="136"/>
      <c r="G77" s="215"/>
      <c r="H77" s="214"/>
      <c r="I77" s="214"/>
      <c r="J77" s="214"/>
      <c r="K77" s="136"/>
      <c r="L77" s="136"/>
      <c r="M77" s="136"/>
      <c r="N77" s="136"/>
      <c r="O77" s="136"/>
      <c r="P77" s="136"/>
      <c r="Q77" s="136"/>
      <c r="R77" s="136"/>
      <c r="S77" s="136"/>
      <c r="T77" s="136"/>
      <c r="U77" s="136" t="s">
        <v>460</v>
      </c>
      <c r="V77" s="136"/>
      <c r="W77" s="216"/>
      <c r="X77" s="43" t="s">
        <v>908</v>
      </c>
      <c r="Y77" s="43" t="s">
        <v>908</v>
      </c>
      <c r="Z77" s="43" t="s">
        <v>265</v>
      </c>
      <c r="AA77" s="43" t="s">
        <v>296</v>
      </c>
      <c r="AB77" s="43" t="s">
        <v>296</v>
      </c>
      <c r="AC77" s="43" t="s">
        <v>296</v>
      </c>
      <c r="AD77" s="43" t="s">
        <v>296</v>
      </c>
      <c r="AE77" s="43" t="s">
        <v>296</v>
      </c>
      <c r="AF77" s="43" t="s">
        <v>306</v>
      </c>
      <c r="AG77" s="43" t="s">
        <v>306</v>
      </c>
      <c r="AH77" s="43" t="s">
        <v>306</v>
      </c>
      <c r="AI77" s="43" t="s">
        <v>306</v>
      </c>
      <c r="AJ77" s="43" t="s">
        <v>306</v>
      </c>
      <c r="AK77" s="43" t="s">
        <v>306</v>
      </c>
      <c r="AL77" s="43" t="s">
        <v>306</v>
      </c>
      <c r="AM77" s="43" t="s">
        <v>306</v>
      </c>
      <c r="AN77" s="43" t="s">
        <v>306</v>
      </c>
      <c r="AO77" s="43" t="s">
        <v>306</v>
      </c>
      <c r="AP77" s="43" t="s">
        <v>306</v>
      </c>
      <c r="AQ77" s="43" t="s">
        <v>306</v>
      </c>
      <c r="AR77" s="43" t="s">
        <v>306</v>
      </c>
      <c r="AS77" s="43" t="s">
        <v>306</v>
      </c>
      <c r="AT77" s="43" t="s">
        <v>306</v>
      </c>
      <c r="AU77" s="43" t="s">
        <v>306</v>
      </c>
      <c r="AV77" s="43" t="s">
        <v>306</v>
      </c>
      <c r="AW77" s="43" t="s">
        <v>306</v>
      </c>
      <c r="AX77" s="43" t="s">
        <v>306</v>
      </c>
      <c r="AY77" s="43"/>
      <c r="AZ77" s="43"/>
      <c r="BA77" s="43"/>
      <c r="BB77" s="43"/>
      <c r="BC77" s="43"/>
      <c r="BD77" s="43"/>
      <c r="BE77" s="43"/>
      <c r="BF77" s="43"/>
      <c r="BG77" s="43"/>
    </row>
    <row r="78" spans="2:59" ht="12.75">
      <c r="B78" s="12" t="s">
        <v>523</v>
      </c>
      <c r="C78" s="1">
        <f>E78*(VLOOKUP(D78,Race,2,FALSE)*(N78*init_bonus+O78+P78*front+Q78*Back+R78+S78*armour+SUM(T78:V78))*(Thrust_base+(I78/J78)/Thrust_div)*POWER(W78,Weapon_power))/(POWER(signature,(L78-M78)))*IF(K78="Y",gravitic,1)*IF(H78="Y",agile,1)/divisor</f>
        <v>98.57040299751661</v>
      </c>
      <c r="D78" s="1" t="s">
        <v>522</v>
      </c>
      <c r="E78" s="57">
        <v>1</v>
      </c>
      <c r="F78" s="57">
        <v>6</v>
      </c>
      <c r="G78" s="58">
        <f>C110*F78</f>
        <v>35.82597061883655</v>
      </c>
      <c r="H78" s="52" t="s">
        <v>21</v>
      </c>
      <c r="I78" s="52">
        <v>10</v>
      </c>
      <c r="J78" s="52">
        <v>3</v>
      </c>
      <c r="K78" s="57" t="s">
        <v>21</v>
      </c>
      <c r="L78" s="57">
        <v>10</v>
      </c>
      <c r="M78" s="57">
        <v>6</v>
      </c>
      <c r="N78" s="57">
        <v>6</v>
      </c>
      <c r="O78" s="57">
        <v>45</v>
      </c>
      <c r="P78" s="57">
        <v>60</v>
      </c>
      <c r="Q78" s="57">
        <v>60</v>
      </c>
      <c r="R78" s="57">
        <v>0</v>
      </c>
      <c r="S78" s="57">
        <v>3</v>
      </c>
      <c r="T78" s="57"/>
      <c r="U78" s="57"/>
      <c r="V78" s="57"/>
      <c r="W78" s="1">
        <f>SUM(X78:BD78)*(num_weapons_base+num_weapons_mod*COUNT(X78:BD78))</f>
        <v>101.71282942686058</v>
      </c>
      <c r="X78" s="53">
        <f aca="true" t="shared" si="27" ref="X78:AE78">VLOOKUP(X77,weapon,2,FALSE)</f>
        <v>11.034431137724553</v>
      </c>
      <c r="Y78" s="53">
        <f t="shared" si="27"/>
        <v>11.034431137724553</v>
      </c>
      <c r="Z78" s="53">
        <f t="shared" si="27"/>
        <v>10.530000000000003</v>
      </c>
      <c r="AA78" s="53">
        <f t="shared" si="27"/>
        <v>9.372857142857145</v>
      </c>
      <c r="AB78" s="53">
        <f t="shared" si="27"/>
        <v>9.372857142857145</v>
      </c>
      <c r="AC78" s="53">
        <f t="shared" si="27"/>
        <v>9.372857142857145</v>
      </c>
      <c r="AD78" s="53">
        <f t="shared" si="27"/>
        <v>9.372857142857145</v>
      </c>
      <c r="AE78" s="53">
        <f t="shared" si="27"/>
        <v>9.372857142857145</v>
      </c>
      <c r="AF78" s="53"/>
      <c r="AG78" s="53"/>
      <c r="AH78" s="53"/>
      <c r="AI78" s="53"/>
      <c r="AJ78" s="53"/>
      <c r="AK78" s="53"/>
      <c r="AL78" s="53"/>
      <c r="AM78" s="53"/>
      <c r="AN78" s="53"/>
      <c r="AO78" s="53"/>
      <c r="AP78" s="53"/>
      <c r="AQ78" s="53"/>
      <c r="AR78" s="53"/>
      <c r="AS78" s="53"/>
      <c r="AT78" s="53"/>
      <c r="AU78" s="53"/>
      <c r="AV78" s="53"/>
      <c r="AW78" s="53"/>
      <c r="AX78" s="53"/>
      <c r="AY78" s="43"/>
      <c r="AZ78" s="43"/>
      <c r="BA78" s="43"/>
      <c r="BB78" s="43"/>
      <c r="BC78" s="43"/>
      <c r="BD78" s="43"/>
      <c r="BE78" s="43"/>
      <c r="BF78" s="43"/>
      <c r="BG78" s="43"/>
    </row>
    <row r="79" spans="2:59" ht="12.75">
      <c r="B79" s="12"/>
      <c r="C79" s="42"/>
      <c r="D79" s="42"/>
      <c r="E79" s="57"/>
      <c r="F79" s="57"/>
      <c r="G79" s="58"/>
      <c r="H79" s="5"/>
      <c r="I79" s="5"/>
      <c r="J79" s="5"/>
      <c r="K79" s="57"/>
      <c r="L79" s="57"/>
      <c r="M79" s="57"/>
      <c r="N79" s="57"/>
      <c r="O79" s="57"/>
      <c r="P79" s="57"/>
      <c r="Q79" s="57"/>
      <c r="R79" s="57"/>
      <c r="S79" s="57"/>
      <c r="T79" s="57"/>
      <c r="U79" s="57"/>
      <c r="V79" s="57"/>
      <c r="W79" s="1"/>
      <c r="X79" s="43" t="s">
        <v>368</v>
      </c>
      <c r="Y79" s="43" t="s">
        <v>368</v>
      </c>
      <c r="Z79" s="43" t="s">
        <v>265</v>
      </c>
      <c r="AA79" s="43" t="s">
        <v>265</v>
      </c>
      <c r="AB79" s="43" t="s">
        <v>265</v>
      </c>
      <c r="AC79" s="43" t="s">
        <v>296</v>
      </c>
      <c r="AD79" s="43" t="s">
        <v>296</v>
      </c>
      <c r="AE79" s="43" t="s">
        <v>296</v>
      </c>
      <c r="AF79" s="43" t="s">
        <v>306</v>
      </c>
      <c r="AG79" s="43" t="s">
        <v>306</v>
      </c>
      <c r="AH79" s="43"/>
      <c r="AI79" s="43"/>
      <c r="AJ79" s="43"/>
      <c r="AK79" s="43"/>
      <c r="AL79" s="43"/>
      <c r="AM79" s="43"/>
      <c r="AN79" s="43"/>
      <c r="AO79" s="43"/>
      <c r="AP79" s="43"/>
      <c r="AQ79" s="43"/>
      <c r="AR79" s="43"/>
      <c r="AS79" s="43"/>
      <c r="AT79" s="43"/>
      <c r="AU79" s="43"/>
      <c r="AV79" s="43"/>
      <c r="AW79" s="43"/>
      <c r="AX79" s="43" t="s">
        <v>306</v>
      </c>
      <c r="AY79" s="43"/>
      <c r="AZ79" s="43"/>
      <c r="BA79" s="43"/>
      <c r="BB79" s="43"/>
      <c r="BC79" s="43"/>
      <c r="BD79" s="43"/>
      <c r="BE79" s="43"/>
      <c r="BF79" s="43"/>
      <c r="BG79" s="43"/>
    </row>
    <row r="80" spans="2:59" ht="12.75">
      <c r="B80" s="12" t="s">
        <v>928</v>
      </c>
      <c r="C80" s="1">
        <f>E80*(VLOOKUP(D80,Race,2,FALSE)*(N80*init_bonus+O80+P80*front+Q80*Back+R80+S80*armour+SUM(T80:V80))*(Thrust_base+(I80/J80)/Thrust_div)*POWER(W80,Weapon_power))/(POWER(signature,(L80-M80)))*IF(K80="Y",gravitic,1)*IF(H80="Y",agile,1)/divisor</f>
        <v>145.00807382787224</v>
      </c>
      <c r="D80" s="1" t="s">
        <v>522</v>
      </c>
      <c r="E80" s="57">
        <v>1</v>
      </c>
      <c r="F80" s="57">
        <v>6</v>
      </c>
      <c r="G80" s="58">
        <f>C112*F80</f>
        <v>36.388186637896794</v>
      </c>
      <c r="H80" s="52" t="s">
        <v>21</v>
      </c>
      <c r="I80" s="52">
        <v>10</v>
      </c>
      <c r="J80" s="52">
        <v>3</v>
      </c>
      <c r="K80" s="57" t="s">
        <v>21</v>
      </c>
      <c r="L80" s="57">
        <v>10</v>
      </c>
      <c r="M80" s="57">
        <v>8</v>
      </c>
      <c r="N80" s="57">
        <v>6</v>
      </c>
      <c r="O80" s="57">
        <v>45</v>
      </c>
      <c r="P80" s="57">
        <v>60</v>
      </c>
      <c r="Q80" s="57">
        <v>60</v>
      </c>
      <c r="R80" s="57">
        <v>0</v>
      </c>
      <c r="S80" s="57">
        <v>3</v>
      </c>
      <c r="T80" s="57"/>
      <c r="U80" s="57"/>
      <c r="V80" s="57"/>
      <c r="W80" s="1">
        <f>SUM(X80:BD80)*(num_weapons_base+num_weapons_mod*COUNT(X80:BD80))</f>
        <v>129.14249142857145</v>
      </c>
      <c r="X80" s="53">
        <f aca="true" t="shared" si="28" ref="X80:AE80">VLOOKUP(X79,weapon,2,FALSE)</f>
        <v>20.592000000000006</v>
      </c>
      <c r="Y80" s="53">
        <f t="shared" si="28"/>
        <v>20.592000000000006</v>
      </c>
      <c r="Z80" s="53">
        <f t="shared" si="28"/>
        <v>10.530000000000003</v>
      </c>
      <c r="AA80" s="53">
        <f t="shared" si="28"/>
        <v>10.530000000000003</v>
      </c>
      <c r="AB80" s="53">
        <f t="shared" si="28"/>
        <v>10.530000000000003</v>
      </c>
      <c r="AC80" s="53">
        <f t="shared" si="28"/>
        <v>9.372857142857145</v>
      </c>
      <c r="AD80" s="53">
        <f t="shared" si="28"/>
        <v>9.372857142857145</v>
      </c>
      <c r="AE80" s="53">
        <f t="shared" si="28"/>
        <v>9.372857142857145</v>
      </c>
      <c r="AF80" s="53"/>
      <c r="AG80" s="53"/>
      <c r="AH80" s="53"/>
      <c r="AI80" s="53"/>
      <c r="AJ80" s="53"/>
      <c r="AK80" s="53"/>
      <c r="AL80" s="53"/>
      <c r="AM80" s="53"/>
      <c r="AN80" s="53"/>
      <c r="AO80" s="53"/>
      <c r="AP80" s="53"/>
      <c r="AQ80" s="53"/>
      <c r="AR80" s="53"/>
      <c r="AS80" s="53"/>
      <c r="AT80" s="53"/>
      <c r="AU80" s="53"/>
      <c r="AV80" s="53"/>
      <c r="AW80" s="53"/>
      <c r="AX80" s="53"/>
      <c r="AY80" s="43"/>
      <c r="AZ80" s="43"/>
      <c r="BA80" s="43"/>
      <c r="BB80" s="43"/>
      <c r="BC80" s="43"/>
      <c r="BD80" s="43"/>
      <c r="BE80" s="43"/>
      <c r="BF80" s="43"/>
      <c r="BG80" s="43"/>
    </row>
    <row r="81" spans="2:59" ht="12.75">
      <c r="B81" s="12"/>
      <c r="C81" s="42"/>
      <c r="D81" s="42"/>
      <c r="E81" s="57"/>
      <c r="F81" s="57"/>
      <c r="G81" s="58"/>
      <c r="H81" s="5"/>
      <c r="I81" s="5"/>
      <c r="J81" s="5"/>
      <c r="K81" s="57"/>
      <c r="L81" s="57"/>
      <c r="M81" s="57"/>
      <c r="N81" s="57"/>
      <c r="O81" s="57"/>
      <c r="P81" s="57"/>
      <c r="Q81" s="57"/>
      <c r="R81" s="57"/>
      <c r="S81" s="57"/>
      <c r="T81" s="57"/>
      <c r="U81" s="57"/>
      <c r="V81" s="57"/>
      <c r="W81" s="1"/>
      <c r="X81" s="43" t="s">
        <v>296</v>
      </c>
      <c r="Y81" s="43" t="s">
        <v>296</v>
      </c>
      <c r="Z81" s="43" t="s">
        <v>296</v>
      </c>
      <c r="AA81" s="43" t="s">
        <v>296</v>
      </c>
      <c r="AB81" s="43" t="s">
        <v>296</v>
      </c>
      <c r="AC81" s="43" t="s">
        <v>249</v>
      </c>
      <c r="AD81" s="43" t="s">
        <v>249</v>
      </c>
      <c r="AE81" s="43" t="s">
        <v>306</v>
      </c>
      <c r="AF81" s="43" t="s">
        <v>306</v>
      </c>
      <c r="AG81" s="43" t="s">
        <v>306</v>
      </c>
      <c r="AH81" s="43"/>
      <c r="AI81" s="43"/>
      <c r="AJ81" s="43"/>
      <c r="AK81" s="43"/>
      <c r="AL81" s="43"/>
      <c r="AM81" s="43"/>
      <c r="AN81" s="43"/>
      <c r="AO81" s="43"/>
      <c r="AP81" s="43"/>
      <c r="AQ81" s="43"/>
      <c r="AR81" s="43"/>
      <c r="AS81" s="43"/>
      <c r="AT81" s="43"/>
      <c r="AU81" s="43"/>
      <c r="AV81" s="43"/>
      <c r="AW81" s="43"/>
      <c r="AX81" s="43" t="s">
        <v>306</v>
      </c>
      <c r="AY81" s="43"/>
      <c r="AZ81" s="43"/>
      <c r="BA81" s="43"/>
      <c r="BB81" s="43"/>
      <c r="BC81" s="43"/>
      <c r="BD81" s="43"/>
      <c r="BE81" s="43"/>
      <c r="BF81" s="43"/>
      <c r="BG81" s="43"/>
    </row>
    <row r="82" spans="2:59" ht="12.75">
      <c r="B82" s="12" t="s">
        <v>524</v>
      </c>
      <c r="C82" s="1">
        <f>E82*(VLOOKUP(D82,Race,2,FALSE)*(N82*init_bonus+O82+P82*front+Q82*Back+R82+S82*armour+SUM(T82:V82))*(Thrust_base+(I82/J82)/Thrust_div)*POWER(W82,Weapon_power))/(POWER(signature,(L82-M82)))*IF(K82="Y",gravitic,1)*IF(H82="Y",agile,1)/divisor</f>
        <v>112.36896055677991</v>
      </c>
      <c r="D82" s="1" t="s">
        <v>522</v>
      </c>
      <c r="E82" s="57">
        <v>1</v>
      </c>
      <c r="F82" s="57">
        <v>36</v>
      </c>
      <c r="G82" s="58">
        <f>F82*C110</f>
        <v>214.9558237130193</v>
      </c>
      <c r="H82" s="52" t="s">
        <v>21</v>
      </c>
      <c r="I82" s="52">
        <v>10</v>
      </c>
      <c r="J82" s="52">
        <v>4</v>
      </c>
      <c r="K82" s="57" t="s">
        <v>21</v>
      </c>
      <c r="L82" s="57">
        <v>14</v>
      </c>
      <c r="M82" s="57">
        <v>8</v>
      </c>
      <c r="N82" s="57">
        <v>0</v>
      </c>
      <c r="O82" s="57">
        <v>40</v>
      </c>
      <c r="P82" s="57">
        <v>40</v>
      </c>
      <c r="Q82" s="57">
        <v>40</v>
      </c>
      <c r="R82" s="57">
        <v>60</v>
      </c>
      <c r="S82" s="57">
        <v>5.25</v>
      </c>
      <c r="T82" s="57"/>
      <c r="U82" s="57"/>
      <c r="V82" s="57"/>
      <c r="W82" s="1">
        <f>SUM(X82:BD82)*(num_weapons_base+num_weapons_mod*COUNT(X82:BD82))</f>
        <v>113.48444571428573</v>
      </c>
      <c r="X82" s="53">
        <f aca="true" t="shared" si="29" ref="X82:AD82">VLOOKUP(X79,weapon,2,FALSE)</f>
        <v>20.592000000000006</v>
      </c>
      <c r="Y82" s="53">
        <f t="shared" si="29"/>
        <v>20.592000000000006</v>
      </c>
      <c r="Z82" s="53">
        <f t="shared" si="29"/>
        <v>10.530000000000003</v>
      </c>
      <c r="AA82" s="53">
        <f t="shared" si="29"/>
        <v>10.530000000000003</v>
      </c>
      <c r="AB82" s="53">
        <f t="shared" si="29"/>
        <v>10.530000000000003</v>
      </c>
      <c r="AC82" s="53">
        <f t="shared" si="29"/>
        <v>9.372857142857145</v>
      </c>
      <c r="AD82" s="53">
        <f t="shared" si="29"/>
        <v>9.372857142857145</v>
      </c>
      <c r="AE82" s="53"/>
      <c r="AF82" s="53"/>
      <c r="AG82" s="53"/>
      <c r="AH82" s="53"/>
      <c r="AI82" s="53"/>
      <c r="AJ82" s="53"/>
      <c r="AK82" s="53"/>
      <c r="AL82" s="53"/>
      <c r="AM82" s="53"/>
      <c r="AN82" s="53"/>
      <c r="AO82" s="53"/>
      <c r="AP82" s="53"/>
      <c r="AQ82" s="53"/>
      <c r="AR82" s="53"/>
      <c r="AS82" s="53"/>
      <c r="AT82" s="53"/>
      <c r="AU82" s="53"/>
      <c r="AV82" s="53"/>
      <c r="AW82" s="53"/>
      <c r="AX82" s="53"/>
      <c r="AY82" s="43"/>
      <c r="AZ82" s="43"/>
      <c r="BA82" s="43"/>
      <c r="BB82" s="43"/>
      <c r="BC82" s="43"/>
      <c r="BD82" s="43"/>
      <c r="BE82" s="43"/>
      <c r="BF82" s="43"/>
      <c r="BG82" s="43"/>
    </row>
    <row r="83" spans="2:59" ht="12.75">
      <c r="B83" s="12"/>
      <c r="C83" s="42"/>
      <c r="D83" s="42"/>
      <c r="E83" s="57"/>
      <c r="F83" s="57"/>
      <c r="G83" s="58"/>
      <c r="H83" s="5"/>
      <c r="I83" s="5"/>
      <c r="J83" s="5"/>
      <c r="K83" s="57"/>
      <c r="L83" s="57"/>
      <c r="M83" s="57"/>
      <c r="N83" s="57"/>
      <c r="O83" s="57"/>
      <c r="P83" s="57"/>
      <c r="Q83" s="57"/>
      <c r="R83" s="57"/>
      <c r="S83" s="57"/>
      <c r="T83" s="57"/>
      <c r="U83" s="57"/>
      <c r="V83" s="57"/>
      <c r="W83" s="1"/>
      <c r="X83" s="43" t="s">
        <v>415</v>
      </c>
      <c r="Y83" s="43" t="s">
        <v>415</v>
      </c>
      <c r="Z83" s="43" t="s">
        <v>265</v>
      </c>
      <c r="AA83" s="43" t="s">
        <v>265</v>
      </c>
      <c r="AB83" s="43" t="s">
        <v>296</v>
      </c>
      <c r="AC83" s="43" t="s">
        <v>296</v>
      </c>
      <c r="AD83" s="43" t="s">
        <v>296</v>
      </c>
      <c r="AE83" s="43" t="s">
        <v>296</v>
      </c>
      <c r="AF83" s="43" t="s">
        <v>306</v>
      </c>
      <c r="AG83" s="43"/>
      <c r="AH83" s="43"/>
      <c r="AI83" s="43"/>
      <c r="AJ83" s="43"/>
      <c r="AK83" s="43"/>
      <c r="AL83" s="43"/>
      <c r="AM83" s="43"/>
      <c r="AN83" s="43"/>
      <c r="AO83" s="43"/>
      <c r="AP83" s="43"/>
      <c r="AQ83" s="43"/>
      <c r="AR83" s="43"/>
      <c r="AS83" s="43"/>
      <c r="AT83" s="43"/>
      <c r="AU83" s="43"/>
      <c r="AV83" s="43"/>
      <c r="AW83" s="43"/>
      <c r="AX83" s="43" t="s">
        <v>306</v>
      </c>
      <c r="AY83" s="43"/>
      <c r="AZ83" s="43"/>
      <c r="BA83" s="43"/>
      <c r="BB83" s="43"/>
      <c r="BC83" s="43"/>
      <c r="BD83" s="43"/>
      <c r="BE83" s="43"/>
      <c r="BF83" s="43"/>
      <c r="BG83" s="43"/>
    </row>
    <row r="84" spans="2:59" ht="12.75">
      <c r="B84" s="12" t="s">
        <v>525</v>
      </c>
      <c r="C84" s="1">
        <f>E84*(VLOOKUP(D84,Race,2,FALSE)*(N84*init_bonus+O84+P84*front+Q84*Back+R84+S84*armour+SUM(T84:V84))*(Thrust_base+(I84/J84)/Thrust_div)*POWER(W84,Weapon_power))/(POWER(signature,(L84-M84)))*IF(K84="Y",gravitic,1)*IF(H84="Y",agile,1)/divisor</f>
        <v>258.49746303724805</v>
      </c>
      <c r="D84" s="1" t="s">
        <v>522</v>
      </c>
      <c r="E84" s="57">
        <v>1</v>
      </c>
      <c r="F84" s="57"/>
      <c r="G84" s="58">
        <v>0</v>
      </c>
      <c r="H84" s="52" t="s">
        <v>21</v>
      </c>
      <c r="I84" s="52">
        <v>12</v>
      </c>
      <c r="J84" s="52">
        <v>3</v>
      </c>
      <c r="K84" s="57" t="s">
        <v>21</v>
      </c>
      <c r="L84" s="57">
        <v>10</v>
      </c>
      <c r="M84" s="57">
        <v>10</v>
      </c>
      <c r="N84" s="57">
        <v>2</v>
      </c>
      <c r="O84" s="57">
        <v>45</v>
      </c>
      <c r="P84" s="57">
        <v>44</v>
      </c>
      <c r="Q84" s="57">
        <v>44</v>
      </c>
      <c r="R84" s="57">
        <v>55</v>
      </c>
      <c r="S84" s="57">
        <v>4.25</v>
      </c>
      <c r="T84" s="57"/>
      <c r="U84" s="57"/>
      <c r="V84" s="57"/>
      <c r="W84" s="1">
        <f>SUM(X84:BD84)*(num_weapons_base+num_weapons_mod*COUNT(X84:BD84))</f>
        <v>157.8070501283148</v>
      </c>
      <c r="X84" s="53">
        <f aca="true" t="shared" si="30" ref="X84:AE84">VLOOKUP(X83,weapon,2,FALSE)</f>
        <v>32.36766467065869</v>
      </c>
      <c r="Y84" s="53">
        <f t="shared" si="30"/>
        <v>32.36766467065869</v>
      </c>
      <c r="Z84" s="53">
        <f t="shared" si="30"/>
        <v>10.530000000000003</v>
      </c>
      <c r="AA84" s="53">
        <f t="shared" si="30"/>
        <v>10.530000000000003</v>
      </c>
      <c r="AB84" s="53">
        <f t="shared" si="30"/>
        <v>9.372857142857145</v>
      </c>
      <c r="AC84" s="53">
        <f t="shared" si="30"/>
        <v>9.372857142857145</v>
      </c>
      <c r="AD84" s="53">
        <f t="shared" si="30"/>
        <v>9.372857142857145</v>
      </c>
      <c r="AE84" s="53">
        <f t="shared" si="30"/>
        <v>9.372857142857145</v>
      </c>
      <c r="AF84" s="53"/>
      <c r="AG84" s="53"/>
      <c r="AH84" s="53"/>
      <c r="AI84" s="53"/>
      <c r="AJ84" s="53"/>
      <c r="AK84" s="53"/>
      <c r="AL84" s="53"/>
      <c r="AM84" s="53"/>
      <c r="AN84" s="53"/>
      <c r="AO84" s="53"/>
      <c r="AP84" s="53"/>
      <c r="AQ84" s="53"/>
      <c r="AR84" s="53"/>
      <c r="AS84" s="53"/>
      <c r="AT84" s="53"/>
      <c r="AU84" s="53"/>
      <c r="AV84" s="53"/>
      <c r="AW84" s="53"/>
      <c r="AX84" s="53"/>
      <c r="AY84" s="43"/>
      <c r="AZ84" s="43"/>
      <c r="BA84" s="43"/>
      <c r="BB84" s="43"/>
      <c r="BC84" s="43"/>
      <c r="BD84" s="43"/>
      <c r="BE84" s="43"/>
      <c r="BF84" s="43"/>
      <c r="BG84" s="43"/>
    </row>
    <row r="85" spans="2:59" ht="12.75">
      <c r="B85" s="12"/>
      <c r="C85" s="42"/>
      <c r="D85" s="42"/>
      <c r="E85" s="57"/>
      <c r="F85" s="57"/>
      <c r="G85" s="58"/>
      <c r="H85" s="5"/>
      <c r="I85" s="5"/>
      <c r="J85" s="5"/>
      <c r="K85" s="57"/>
      <c r="L85" s="57"/>
      <c r="M85" s="57"/>
      <c r="N85" s="57"/>
      <c r="O85" s="57"/>
      <c r="P85" s="57"/>
      <c r="Q85" s="57"/>
      <c r="R85" s="57"/>
      <c r="S85" s="57"/>
      <c r="T85" s="57"/>
      <c r="U85" s="57"/>
      <c r="V85" s="57"/>
      <c r="W85" s="1"/>
      <c r="X85" s="43" t="s">
        <v>415</v>
      </c>
      <c r="Y85" s="43" t="s">
        <v>415</v>
      </c>
      <c r="Z85" s="43" t="s">
        <v>265</v>
      </c>
      <c r="AA85" s="43" t="s">
        <v>265</v>
      </c>
      <c r="AB85" s="43" t="s">
        <v>265</v>
      </c>
      <c r="AC85" s="43" t="s">
        <v>296</v>
      </c>
      <c r="AD85" s="43" t="s">
        <v>296</v>
      </c>
      <c r="AE85" s="43" t="s">
        <v>296</v>
      </c>
      <c r="AF85" s="43" t="s">
        <v>296</v>
      </c>
      <c r="AG85" s="43" t="s">
        <v>296</v>
      </c>
      <c r="AH85" s="43"/>
      <c r="AI85" s="43"/>
      <c r="AJ85" s="43"/>
      <c r="AK85" s="43"/>
      <c r="AL85" s="43"/>
      <c r="AM85" s="43"/>
      <c r="AN85" s="43"/>
      <c r="AO85" s="43"/>
      <c r="AP85" s="43"/>
      <c r="AQ85" s="43"/>
      <c r="AR85" s="43"/>
      <c r="AS85" s="43"/>
      <c r="AT85" s="43"/>
      <c r="AU85" s="43"/>
      <c r="AV85" s="43"/>
      <c r="AW85" s="43"/>
      <c r="AX85" s="43" t="s">
        <v>306</v>
      </c>
      <c r="AY85" s="43"/>
      <c r="AZ85" s="43"/>
      <c r="BA85" s="43"/>
      <c r="BB85" s="43"/>
      <c r="BC85" s="43"/>
      <c r="BD85" s="43"/>
      <c r="BE85" s="43"/>
      <c r="BF85" s="43"/>
      <c r="BG85" s="43"/>
    </row>
    <row r="86" spans="2:59" ht="12.75">
      <c r="B86" s="12" t="s">
        <v>526</v>
      </c>
      <c r="C86" s="1">
        <f>E86*(VLOOKUP(D86,Race,2,FALSE)*(N86*init_bonus+O86+P86*front+Q86*Back+R86+S86*armour+SUM(T86:V86))*(Thrust_base+(I86/J86)/Thrust_div)*POWER(W86,Weapon_power))/(POWER(signature,(L86-M86)))*IF(K86="Y",gravitic,1)*IF(H86="Y",agile,1)/divisor</f>
        <v>389.0216279762816</v>
      </c>
      <c r="D86" s="1" t="s">
        <v>522</v>
      </c>
      <c r="E86" s="57">
        <v>1</v>
      </c>
      <c r="F86" s="57">
        <v>12</v>
      </c>
      <c r="G86" s="58">
        <f>F86*C114</f>
        <v>100.72696114523832</v>
      </c>
      <c r="H86" s="52" t="s">
        <v>21</v>
      </c>
      <c r="I86" s="52">
        <v>12</v>
      </c>
      <c r="J86" s="52">
        <v>3</v>
      </c>
      <c r="K86" s="57" t="s">
        <v>21</v>
      </c>
      <c r="L86" s="57">
        <v>9</v>
      </c>
      <c r="M86" s="57">
        <v>12</v>
      </c>
      <c r="N86" s="57">
        <v>0</v>
      </c>
      <c r="O86" s="57">
        <v>40</v>
      </c>
      <c r="P86" s="57">
        <v>52</v>
      </c>
      <c r="Q86" s="57">
        <v>44</v>
      </c>
      <c r="R86" s="57">
        <v>52</v>
      </c>
      <c r="S86" s="57">
        <v>5</v>
      </c>
      <c r="T86" s="57"/>
      <c r="U86" s="57"/>
      <c r="V86" s="57"/>
      <c r="W86" s="1">
        <f>SUM(X86:BD86)*(num_weapons_base+num_weapons_mod*COUNT(X86:BD86))</f>
        <v>194.73787647562023</v>
      </c>
      <c r="X86" s="53">
        <f aca="true" t="shared" si="31" ref="X86:AG86">VLOOKUP(X85,weapon,2,FALSE)</f>
        <v>32.36766467065869</v>
      </c>
      <c r="Y86" s="53">
        <f t="shared" si="31"/>
        <v>32.36766467065869</v>
      </c>
      <c r="Z86" s="53">
        <f t="shared" si="31"/>
        <v>10.530000000000003</v>
      </c>
      <c r="AA86" s="53">
        <f t="shared" si="31"/>
        <v>10.530000000000003</v>
      </c>
      <c r="AB86" s="53">
        <f t="shared" si="31"/>
        <v>10.530000000000003</v>
      </c>
      <c r="AC86" s="53">
        <f t="shared" si="31"/>
        <v>9.372857142857145</v>
      </c>
      <c r="AD86" s="53">
        <f t="shared" si="31"/>
        <v>9.372857142857145</v>
      </c>
      <c r="AE86" s="53">
        <f t="shared" si="31"/>
        <v>9.372857142857145</v>
      </c>
      <c r="AF86" s="53">
        <f t="shared" si="31"/>
        <v>9.372857142857145</v>
      </c>
      <c r="AG86" s="53">
        <f t="shared" si="31"/>
        <v>9.372857142857145</v>
      </c>
      <c r="AH86" s="53"/>
      <c r="AI86" s="53"/>
      <c r="AJ86" s="53"/>
      <c r="AK86" s="53"/>
      <c r="AL86" s="53"/>
      <c r="AM86" s="53"/>
      <c r="AN86" s="53"/>
      <c r="AO86" s="53"/>
      <c r="AP86" s="53"/>
      <c r="AQ86" s="53"/>
      <c r="AR86" s="53"/>
      <c r="AS86" s="53"/>
      <c r="AT86" s="53"/>
      <c r="AU86" s="53"/>
      <c r="AV86" s="53"/>
      <c r="AW86" s="53"/>
      <c r="AX86" s="53"/>
      <c r="AY86" s="43"/>
      <c r="AZ86" s="43"/>
      <c r="BA86" s="43"/>
      <c r="BB86" s="43"/>
      <c r="BC86" s="43"/>
      <c r="BD86" s="43"/>
      <c r="BE86" s="43"/>
      <c r="BF86" s="43"/>
      <c r="BG86" s="43"/>
    </row>
    <row r="87" spans="2:59" ht="12.75">
      <c r="B87" s="12"/>
      <c r="C87" s="42"/>
      <c r="D87" s="42"/>
      <c r="E87" s="57"/>
      <c r="F87" s="57"/>
      <c r="G87" s="58"/>
      <c r="H87" s="5"/>
      <c r="I87" s="5"/>
      <c r="J87" s="5"/>
      <c r="K87" s="57"/>
      <c r="L87" s="57"/>
      <c r="M87" s="57"/>
      <c r="N87" s="57"/>
      <c r="O87" s="57"/>
      <c r="P87" s="57"/>
      <c r="Q87" s="57"/>
      <c r="R87" s="57"/>
      <c r="S87" s="57"/>
      <c r="T87" s="57"/>
      <c r="U87" s="57"/>
      <c r="V87" s="57"/>
      <c r="W87" s="1"/>
      <c r="X87" s="43" t="s">
        <v>415</v>
      </c>
      <c r="Y87" s="43" t="s">
        <v>415</v>
      </c>
      <c r="Z87" s="43" t="s">
        <v>265</v>
      </c>
      <c r="AA87" s="43" t="s">
        <v>265</v>
      </c>
      <c r="AB87" s="43" t="s">
        <v>306</v>
      </c>
      <c r="AC87" s="43" t="s">
        <v>306</v>
      </c>
      <c r="AD87" s="43" t="s">
        <v>306</v>
      </c>
      <c r="AE87" s="43" t="s">
        <v>306</v>
      </c>
      <c r="AF87" s="43" t="s">
        <v>306</v>
      </c>
      <c r="AG87" s="43" t="s">
        <v>306</v>
      </c>
      <c r="AH87" s="43" t="s">
        <v>306</v>
      </c>
      <c r="AI87" s="43" t="s">
        <v>306</v>
      </c>
      <c r="AJ87" s="43" t="s">
        <v>306</v>
      </c>
      <c r="AK87" s="43" t="s">
        <v>306</v>
      </c>
      <c r="AL87" s="43" t="s">
        <v>306</v>
      </c>
      <c r="AM87" s="43" t="s">
        <v>306</v>
      </c>
      <c r="AN87" s="43" t="s">
        <v>306</v>
      </c>
      <c r="AO87" s="43" t="s">
        <v>306</v>
      </c>
      <c r="AP87" s="43" t="s">
        <v>306</v>
      </c>
      <c r="AQ87" s="43" t="s">
        <v>306</v>
      </c>
      <c r="AR87" s="43" t="s">
        <v>306</v>
      </c>
      <c r="AS87" s="43" t="s">
        <v>306</v>
      </c>
      <c r="AT87" s="43" t="s">
        <v>306</v>
      </c>
      <c r="AU87" s="43" t="s">
        <v>306</v>
      </c>
      <c r="AV87" s="43" t="s">
        <v>306</v>
      </c>
      <c r="AW87" s="43" t="s">
        <v>306</v>
      </c>
      <c r="AX87" s="43" t="s">
        <v>306</v>
      </c>
      <c r="AY87" s="43"/>
      <c r="AZ87" s="43"/>
      <c r="BA87" s="43"/>
      <c r="BB87" s="43"/>
      <c r="BC87" s="43"/>
      <c r="BD87" s="43"/>
      <c r="BE87" s="43"/>
      <c r="BF87" s="43"/>
      <c r="BG87" s="43"/>
    </row>
    <row r="88" spans="2:59" ht="12.75">
      <c r="B88" s="12" t="s">
        <v>527</v>
      </c>
      <c r="C88" s="1">
        <f>E88*(VLOOKUP(D88,Race,2,FALSE)*(N88*init_bonus+O88+P88*front+Q88*Back+R88+S88*armour+SUM(T88:V88))*(Thrust_base+(I88/J88)/Thrust_div)*POWER(W88,Weapon_power))/(POWER(signature,(L88-M88)))*IF(K88="Y",gravitic,1)*IF(H88="Y",agile,1)/divisor</f>
        <v>123.72195607609409</v>
      </c>
      <c r="D88" s="1" t="s">
        <v>522</v>
      </c>
      <c r="E88" s="57">
        <v>1</v>
      </c>
      <c r="F88" s="57">
        <v>6</v>
      </c>
      <c r="G88" s="58">
        <f>F88*C110</f>
        <v>35.82597061883655</v>
      </c>
      <c r="H88" s="52" t="s">
        <v>21</v>
      </c>
      <c r="I88" s="52">
        <v>10</v>
      </c>
      <c r="J88" s="52">
        <v>2</v>
      </c>
      <c r="K88" s="57" t="s">
        <v>21</v>
      </c>
      <c r="L88" s="57">
        <v>7</v>
      </c>
      <c r="M88" s="57">
        <v>8</v>
      </c>
      <c r="N88" s="57">
        <v>8</v>
      </c>
      <c r="O88" s="57">
        <v>32</v>
      </c>
      <c r="P88" s="57">
        <v>43</v>
      </c>
      <c r="Q88" s="57">
        <v>40</v>
      </c>
      <c r="R88" s="57">
        <v>0</v>
      </c>
      <c r="S88" s="57">
        <v>3</v>
      </c>
      <c r="T88" s="57"/>
      <c r="U88" s="57">
        <v>4</v>
      </c>
      <c r="V88" s="57"/>
      <c r="W88" s="1">
        <f>SUM(X88:BD88)*(num_weapons_base+num_weapons_mod*COUNT(X88:BD88))</f>
        <v>96.09076886227545</v>
      </c>
      <c r="X88" s="53">
        <f>VLOOKUP(X87,weapon,2,FALSE)</f>
        <v>32.36766467065869</v>
      </c>
      <c r="Y88" s="53">
        <f>VLOOKUP(Y87,weapon,2,FALSE)</f>
        <v>32.36766467065869</v>
      </c>
      <c r="Z88" s="53">
        <f>VLOOKUP(Z87,weapon,2,FALSE)</f>
        <v>10.530000000000003</v>
      </c>
      <c r="AA88" s="53">
        <f>VLOOKUP(AA87,weapon,2,FALSE)</f>
        <v>10.530000000000003</v>
      </c>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43"/>
      <c r="AZ88" s="43"/>
      <c r="BA88" s="43"/>
      <c r="BB88" s="43"/>
      <c r="BC88" s="43"/>
      <c r="BD88" s="43"/>
      <c r="BE88" s="43"/>
      <c r="BF88" s="43"/>
      <c r="BG88" s="43"/>
    </row>
    <row r="89" spans="2:59" ht="12.75">
      <c r="B89" s="12"/>
      <c r="C89" s="42"/>
      <c r="D89" s="42"/>
      <c r="E89" s="57"/>
      <c r="F89" s="57"/>
      <c r="G89" s="58"/>
      <c r="H89" s="5"/>
      <c r="I89" s="5"/>
      <c r="J89" s="5"/>
      <c r="K89" s="57"/>
      <c r="L89" s="57"/>
      <c r="M89" s="57"/>
      <c r="N89" s="57"/>
      <c r="O89" s="57"/>
      <c r="P89" s="57"/>
      <c r="Q89" s="57"/>
      <c r="R89" s="57"/>
      <c r="S89" s="57"/>
      <c r="T89" s="57"/>
      <c r="U89" s="57"/>
      <c r="V89" s="57"/>
      <c r="W89" s="1"/>
      <c r="X89" s="43" t="s">
        <v>321</v>
      </c>
      <c r="Y89" s="43" t="s">
        <v>368</v>
      </c>
      <c r="Z89" s="43" t="s">
        <v>368</v>
      </c>
      <c r="AA89" s="43"/>
      <c r="AB89" s="43" t="s">
        <v>306</v>
      </c>
      <c r="AC89" s="43"/>
      <c r="AD89" s="43"/>
      <c r="AE89" s="43"/>
      <c r="AF89" s="43"/>
      <c r="AG89" s="43"/>
      <c r="AH89" s="43"/>
      <c r="AI89" s="43"/>
      <c r="AJ89" s="43"/>
      <c r="AK89" s="43"/>
      <c r="AL89" s="43"/>
      <c r="AM89" s="43"/>
      <c r="AN89" s="43"/>
      <c r="AO89" s="43"/>
      <c r="AP89" s="43"/>
      <c r="AQ89" s="43"/>
      <c r="AR89" s="43"/>
      <c r="AS89" s="43"/>
      <c r="AT89" s="43"/>
      <c r="AU89" s="43"/>
      <c r="AV89" s="43"/>
      <c r="AW89" s="43"/>
      <c r="AX89" s="43" t="s">
        <v>306</v>
      </c>
      <c r="AY89" s="43"/>
      <c r="AZ89" s="43"/>
      <c r="BA89" s="43"/>
      <c r="BB89" s="43"/>
      <c r="BC89" s="43"/>
      <c r="BD89" s="43"/>
      <c r="BE89" s="43"/>
      <c r="BF89" s="43"/>
      <c r="BG89" s="43"/>
    </row>
    <row r="90" spans="2:59" ht="12.75">
      <c r="B90" s="12" t="s">
        <v>901</v>
      </c>
      <c r="C90" s="1">
        <f>E90*(VLOOKUP(D90,Race,2,FALSE)*(N90*init_bonus+O90+P90*front+Q90*Back+R90+S90*armour+SUM(T90:V90))*(Thrust_base+(I90/J90)/Thrust_div)*POWER(W90,Weapon_power))/(POWER(signature,(L90-M90)))*IF(K90="Y",gravitic,1)*IF(H90="Y",agile,1)/divisor</f>
        <v>73.6337902449139</v>
      </c>
      <c r="D90" s="1" t="s">
        <v>522</v>
      </c>
      <c r="E90" s="57">
        <v>1</v>
      </c>
      <c r="F90" s="57"/>
      <c r="G90" s="58">
        <v>0</v>
      </c>
      <c r="H90" s="52" t="s">
        <v>21</v>
      </c>
      <c r="I90" s="52">
        <v>10</v>
      </c>
      <c r="J90" s="52">
        <v>2</v>
      </c>
      <c r="K90" s="57" t="s">
        <v>21</v>
      </c>
      <c r="L90" s="57">
        <v>9</v>
      </c>
      <c r="M90" s="57">
        <v>8</v>
      </c>
      <c r="N90" s="57">
        <v>6</v>
      </c>
      <c r="O90" s="57">
        <v>30</v>
      </c>
      <c r="P90" s="57">
        <v>50</v>
      </c>
      <c r="Q90" s="57">
        <v>55</v>
      </c>
      <c r="R90" s="57">
        <v>0</v>
      </c>
      <c r="S90" s="57">
        <v>3</v>
      </c>
      <c r="T90" s="57"/>
      <c r="U90" s="57"/>
      <c r="V90" s="57"/>
      <c r="W90" s="1">
        <f>SUM(X90:BD90)*(num_weapons_base+num_weapons_mod*COUNT(X90:BD90))</f>
        <v>68.83692359281439</v>
      </c>
      <c r="X90" s="53">
        <f>VLOOKUP(X89,weapon,2,FALSE)</f>
        <v>22.553892215568865</v>
      </c>
      <c r="Y90" s="53">
        <f>VLOOKUP(Y89,weapon,2,FALSE)</f>
        <v>20.592000000000006</v>
      </c>
      <c r="Z90" s="53">
        <f>VLOOKUP(Z89,weapon,2,FALSE)</f>
        <v>20.592000000000006</v>
      </c>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43"/>
      <c r="AZ90" s="43"/>
      <c r="BA90" s="43"/>
      <c r="BB90" s="43"/>
      <c r="BC90" s="43"/>
      <c r="BD90" s="43"/>
      <c r="BE90" s="43"/>
      <c r="BF90" s="43"/>
      <c r="BG90" s="43"/>
    </row>
    <row r="91" spans="2:59" ht="12.75">
      <c r="B91" s="12"/>
      <c r="C91" s="42"/>
      <c r="D91" s="42"/>
      <c r="E91" s="57"/>
      <c r="F91" s="57"/>
      <c r="G91" s="58"/>
      <c r="H91" s="5"/>
      <c r="I91" s="5"/>
      <c r="J91" s="5"/>
      <c r="K91" s="57"/>
      <c r="L91" s="57"/>
      <c r="M91" s="57"/>
      <c r="N91" s="57"/>
      <c r="O91" s="57"/>
      <c r="P91" s="57"/>
      <c r="Q91" s="57"/>
      <c r="R91" s="57"/>
      <c r="S91" s="57"/>
      <c r="T91" s="57"/>
      <c r="U91" s="57"/>
      <c r="V91" s="57"/>
      <c r="W91" s="1"/>
      <c r="X91" s="43" t="s">
        <v>321</v>
      </c>
      <c r="Y91" s="43" t="s">
        <v>368</v>
      </c>
      <c r="Z91" s="43" t="s">
        <v>368</v>
      </c>
      <c r="AA91" s="43" t="s">
        <v>149</v>
      </c>
      <c r="AB91" s="43" t="s">
        <v>306</v>
      </c>
      <c r="AC91" s="43"/>
      <c r="AD91" s="43"/>
      <c r="AE91" s="43"/>
      <c r="AF91" s="43"/>
      <c r="AG91" s="43"/>
      <c r="AH91" s="43"/>
      <c r="AI91" s="43"/>
      <c r="AJ91" s="43"/>
      <c r="AK91" s="43"/>
      <c r="AL91" s="43"/>
      <c r="AM91" s="43"/>
      <c r="AN91" s="43"/>
      <c r="AO91" s="43"/>
      <c r="AP91" s="43"/>
      <c r="AQ91" s="43"/>
      <c r="AR91" s="43"/>
      <c r="AS91" s="43"/>
      <c r="AT91" s="43"/>
      <c r="AU91" s="43"/>
      <c r="AV91" s="43"/>
      <c r="AW91" s="43"/>
      <c r="AX91" s="43" t="s">
        <v>306</v>
      </c>
      <c r="AY91" s="43"/>
      <c r="AZ91" s="43"/>
      <c r="BA91" s="43"/>
      <c r="BB91" s="43"/>
      <c r="BC91" s="43"/>
      <c r="BD91" s="43"/>
      <c r="BE91" s="43"/>
      <c r="BF91" s="43"/>
      <c r="BG91" s="43"/>
    </row>
    <row r="92" spans="2:59" ht="12.75">
      <c r="B92" s="12" t="s">
        <v>528</v>
      </c>
      <c r="C92" s="1">
        <f>E92*(VLOOKUP(D92,Race,2,FALSE)*(N92*init_bonus+O92+P92*front+Q92*Back+R92+S92*armour+SUM(T92:V92))*(Thrust_base+(I92/J92)/Thrust_div)*POWER(W92,Weapon_power))/(POWER(signature,(L92-M92)))*IF(K92="Y",gravitic,1)*IF(H92="Y",agile,1)/divisor</f>
        <v>95.30623214692439</v>
      </c>
      <c r="D92" s="1" t="s">
        <v>522</v>
      </c>
      <c r="E92" s="57">
        <v>1</v>
      </c>
      <c r="F92" s="57"/>
      <c r="G92" s="58">
        <v>0</v>
      </c>
      <c r="H92" s="52" t="s">
        <v>21</v>
      </c>
      <c r="I92" s="52">
        <v>12</v>
      </c>
      <c r="J92" s="52">
        <v>3</v>
      </c>
      <c r="K92" s="57" t="s">
        <v>21</v>
      </c>
      <c r="L92" s="57">
        <v>9</v>
      </c>
      <c r="M92" s="57">
        <v>8</v>
      </c>
      <c r="N92" s="57">
        <v>6</v>
      </c>
      <c r="O92" s="57">
        <v>30</v>
      </c>
      <c r="P92" s="57">
        <v>50</v>
      </c>
      <c r="Q92" s="57">
        <v>55</v>
      </c>
      <c r="R92" s="57">
        <v>0</v>
      </c>
      <c r="S92" s="57">
        <v>3</v>
      </c>
      <c r="T92" s="57"/>
      <c r="U92" s="57">
        <v>4</v>
      </c>
      <c r="V92" s="57"/>
      <c r="W92" s="1">
        <f>SUM(X92:BD92)*(num_weapons_base+num_weapons_mod*COUNT(X92:BD92))</f>
        <v>89.30643928143714</v>
      </c>
      <c r="X92" s="53">
        <f>VLOOKUP(X91,weapon,2,FALSE)</f>
        <v>22.553892215568865</v>
      </c>
      <c r="Y92" s="53">
        <f>VLOOKUP(Y91,weapon,2,FALSE)</f>
        <v>20.592000000000006</v>
      </c>
      <c r="Z92" s="53">
        <f>VLOOKUP(Z91,weapon,2,FALSE)</f>
        <v>20.592000000000006</v>
      </c>
      <c r="AA92" s="53">
        <f>VLOOKUP(AA91,weapon,2,FALSE)</f>
        <v>16</v>
      </c>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43"/>
      <c r="AZ92" s="43"/>
      <c r="BA92" s="43"/>
      <c r="BB92" s="43"/>
      <c r="BC92" s="43"/>
      <c r="BD92" s="43"/>
      <c r="BE92" s="43"/>
      <c r="BF92" s="43"/>
      <c r="BG92" s="43"/>
    </row>
    <row r="93" spans="2:59" ht="12.75">
      <c r="B93" s="12"/>
      <c r="C93" s="42"/>
      <c r="D93" s="42"/>
      <c r="E93" s="57"/>
      <c r="F93" s="57"/>
      <c r="G93" s="58"/>
      <c r="H93" s="5"/>
      <c r="I93" s="5"/>
      <c r="J93" s="5"/>
      <c r="K93" s="57"/>
      <c r="L93" s="57"/>
      <c r="M93" s="57"/>
      <c r="N93" s="57"/>
      <c r="O93" s="57"/>
      <c r="P93" s="57"/>
      <c r="Q93" s="57"/>
      <c r="R93" s="57"/>
      <c r="S93" s="57"/>
      <c r="T93" s="57"/>
      <c r="U93" s="57"/>
      <c r="V93" s="57"/>
      <c r="W93" s="1"/>
      <c r="X93" s="43" t="s">
        <v>265</v>
      </c>
      <c r="Y93" s="43" t="s">
        <v>294</v>
      </c>
      <c r="Z93" s="43" t="s">
        <v>294</v>
      </c>
      <c r="AA93" s="43" t="s">
        <v>294</v>
      </c>
      <c r="AB93" s="43" t="s">
        <v>294</v>
      </c>
      <c r="AC93" s="43"/>
      <c r="AD93" s="43"/>
      <c r="AE93" s="43"/>
      <c r="AF93" s="43"/>
      <c r="AG93" s="43"/>
      <c r="AH93" s="43"/>
      <c r="AI93" s="43"/>
      <c r="AJ93" s="43"/>
      <c r="AK93" s="43"/>
      <c r="AL93" s="43"/>
      <c r="AM93" s="43"/>
      <c r="AN93" s="43"/>
      <c r="AO93" s="43"/>
      <c r="AP93" s="43"/>
      <c r="AQ93" s="43"/>
      <c r="AR93" s="43"/>
      <c r="AS93" s="43"/>
      <c r="AT93" s="43"/>
      <c r="AU93" s="43"/>
      <c r="AV93" s="43"/>
      <c r="AW93" s="43"/>
      <c r="AX93" s="43" t="s">
        <v>306</v>
      </c>
      <c r="AY93" s="43"/>
      <c r="AZ93" s="43"/>
      <c r="BA93" s="43"/>
      <c r="BB93" s="43"/>
      <c r="BC93" s="43"/>
      <c r="BD93" s="43"/>
      <c r="BE93" s="43"/>
      <c r="BF93" s="43"/>
      <c r="BG93" s="43"/>
    </row>
    <row r="94" spans="2:59" ht="12.75">
      <c r="B94" s="12" t="s">
        <v>529</v>
      </c>
      <c r="C94" s="1">
        <f>E94*(VLOOKUP(D94,Race,2,FALSE)*(N94*init_bonus+O94+P94*front+Q94*Back+R94+S94*armour+SUM(T94:V94))*(Thrust_base+(I94/J94)/Thrust_div)*POWER(W94,Weapon_power))/(POWER(signature,(L94-M94)))*IF(K94="Y",gravitic,1)*IF(H94="Y",agile,1)/divisor</f>
        <v>65.75762404715061</v>
      </c>
      <c r="D94" s="1" t="s">
        <v>522</v>
      </c>
      <c r="E94" s="57">
        <v>1</v>
      </c>
      <c r="F94" s="57"/>
      <c r="G94" s="58">
        <v>0</v>
      </c>
      <c r="H94" s="52" t="s">
        <v>2</v>
      </c>
      <c r="I94" s="52">
        <v>10</v>
      </c>
      <c r="J94" s="52">
        <v>2</v>
      </c>
      <c r="K94" s="57" t="s">
        <v>21</v>
      </c>
      <c r="L94" s="57">
        <v>2</v>
      </c>
      <c r="M94" s="57">
        <v>4</v>
      </c>
      <c r="N94" s="57">
        <v>14</v>
      </c>
      <c r="O94" s="57">
        <v>33</v>
      </c>
      <c r="P94" s="57">
        <v>0</v>
      </c>
      <c r="Q94" s="57">
        <v>0</v>
      </c>
      <c r="R94" s="57">
        <v>0</v>
      </c>
      <c r="S94" s="57">
        <v>1</v>
      </c>
      <c r="T94" s="57"/>
      <c r="U94" s="57"/>
      <c r="V94" s="57"/>
      <c r="W94" s="1">
        <f>SUM(X94:BD94)*(num_weapons_base+num_weapons_mod*COUNT(X94:BD94))</f>
        <v>64.40286857142857</v>
      </c>
      <c r="X94" s="53">
        <f>VLOOKUP(X93,weapon,2,FALSE)</f>
        <v>10.530000000000003</v>
      </c>
      <c r="Y94" s="53">
        <f>VLOOKUP(Y93,weapon,2,FALSE)</f>
        <v>11.247428571428571</v>
      </c>
      <c r="Z94" s="53">
        <f>VLOOKUP(Z93,weapon,2,FALSE)</f>
        <v>11.247428571428571</v>
      </c>
      <c r="AA94" s="53">
        <f>VLOOKUP(AA93,weapon,2,FALSE)</f>
        <v>11.247428571428571</v>
      </c>
      <c r="AB94" s="53">
        <f>VLOOKUP(AB93,weapon,2,FALSE)</f>
        <v>11.247428571428571</v>
      </c>
      <c r="AC94" s="53"/>
      <c r="AD94" s="53"/>
      <c r="AE94" s="53"/>
      <c r="AF94" s="53"/>
      <c r="AG94" s="53"/>
      <c r="AH94" s="53"/>
      <c r="AI94" s="53"/>
      <c r="AJ94" s="53"/>
      <c r="AK94" s="53"/>
      <c r="AL94" s="53"/>
      <c r="AM94" s="53"/>
      <c r="AN94" s="53"/>
      <c r="AO94" s="53"/>
      <c r="AP94" s="53"/>
      <c r="AQ94" s="53"/>
      <c r="AR94" s="53"/>
      <c r="AS94" s="53"/>
      <c r="AT94" s="53"/>
      <c r="AU94" s="53"/>
      <c r="AV94" s="53"/>
      <c r="AW94" s="53"/>
      <c r="AX94" s="53"/>
      <c r="AY94" s="43"/>
      <c r="AZ94" s="43"/>
      <c r="BA94" s="43"/>
      <c r="BB94" s="43"/>
      <c r="BC94" s="43"/>
      <c r="BD94" s="43"/>
      <c r="BE94" s="43"/>
      <c r="BF94" s="43"/>
      <c r="BG94" s="43"/>
    </row>
    <row r="95" spans="2:59" ht="12.75">
      <c r="B95" s="12"/>
      <c r="C95" s="42"/>
      <c r="D95" s="42"/>
      <c r="E95" s="57"/>
      <c r="F95" s="57"/>
      <c r="G95" s="58"/>
      <c r="H95" s="5"/>
      <c r="I95" s="5"/>
      <c r="J95" s="5"/>
      <c r="K95" s="57"/>
      <c r="L95" s="57"/>
      <c r="M95" s="57"/>
      <c r="N95" s="57"/>
      <c r="O95" s="57"/>
      <c r="P95" s="57"/>
      <c r="Q95" s="57"/>
      <c r="R95" s="57"/>
      <c r="S95" s="57"/>
      <c r="T95" s="57"/>
      <c r="U95" s="57"/>
      <c r="V95" s="57"/>
      <c r="W95" s="1"/>
      <c r="X95" s="43" t="s">
        <v>265</v>
      </c>
      <c r="Y95" s="43" t="s">
        <v>265</v>
      </c>
      <c r="Z95" s="43" t="s">
        <v>265</v>
      </c>
      <c r="AA95" s="43" t="s">
        <v>265</v>
      </c>
      <c r="AB95" s="43" t="s">
        <v>265</v>
      </c>
      <c r="AC95" s="43" t="s">
        <v>265</v>
      </c>
      <c r="AD95" s="43" t="s">
        <v>296</v>
      </c>
      <c r="AE95" s="43" t="s">
        <v>296</v>
      </c>
      <c r="AF95" s="43" t="s">
        <v>306</v>
      </c>
      <c r="AG95" s="43" t="s">
        <v>306</v>
      </c>
      <c r="AH95" s="43" t="s">
        <v>306</v>
      </c>
      <c r="AI95" s="43" t="s">
        <v>306</v>
      </c>
      <c r="AJ95" s="43" t="s">
        <v>306</v>
      </c>
      <c r="AK95" s="43" t="s">
        <v>306</v>
      </c>
      <c r="AL95" s="43" t="s">
        <v>306</v>
      </c>
      <c r="AM95" s="43" t="s">
        <v>306</v>
      </c>
      <c r="AN95" s="43" t="s">
        <v>306</v>
      </c>
      <c r="AO95" s="43" t="s">
        <v>306</v>
      </c>
      <c r="AP95" s="43" t="s">
        <v>306</v>
      </c>
      <c r="AQ95" s="43" t="s">
        <v>306</v>
      </c>
      <c r="AR95" s="43" t="s">
        <v>306</v>
      </c>
      <c r="AS95" s="43" t="s">
        <v>306</v>
      </c>
      <c r="AT95" s="43" t="s">
        <v>306</v>
      </c>
      <c r="AU95" s="43" t="s">
        <v>306</v>
      </c>
      <c r="AV95" s="43" t="s">
        <v>306</v>
      </c>
      <c r="AW95" s="43" t="s">
        <v>306</v>
      </c>
      <c r="AX95" s="43" t="s">
        <v>306</v>
      </c>
      <c r="AY95" s="43"/>
      <c r="AZ95" s="43"/>
      <c r="BA95" s="43"/>
      <c r="BB95" s="43"/>
      <c r="BC95" s="43"/>
      <c r="BD95" s="43"/>
      <c r="BE95" s="43"/>
      <c r="BF95" s="43"/>
      <c r="BG95" s="43"/>
    </row>
    <row r="96" spans="2:59" ht="12.75">
      <c r="B96" s="12" t="s">
        <v>530</v>
      </c>
      <c r="C96" s="1">
        <f>E96*(VLOOKUP(D96,Race,2,FALSE)*(N96*init_bonus+O96+P96*front+Q96*Back+R96+S96*armour+SUM(T96:V96))*(Thrust_base+(I96/J96)/Thrust_div)*POWER(W96,Weapon_power))/(POWER(signature,(L96-M96)))*IF(K96="Y",gravitic,1)*IF(H96="Y",agile,1)/divisor</f>
        <v>122.46158064691961</v>
      </c>
      <c r="D96" s="1" t="s">
        <v>522</v>
      </c>
      <c r="E96" s="57">
        <v>1</v>
      </c>
      <c r="F96" s="57"/>
      <c r="G96" s="58">
        <v>0</v>
      </c>
      <c r="H96" s="52" t="s">
        <v>21</v>
      </c>
      <c r="I96" s="52">
        <v>8</v>
      </c>
      <c r="J96" s="52">
        <v>3</v>
      </c>
      <c r="K96" s="57" t="s">
        <v>21</v>
      </c>
      <c r="L96" s="57">
        <v>7</v>
      </c>
      <c r="M96" s="57">
        <v>8</v>
      </c>
      <c r="N96" s="57">
        <v>6</v>
      </c>
      <c r="O96" s="57">
        <v>36</v>
      </c>
      <c r="P96" s="57">
        <v>52</v>
      </c>
      <c r="Q96" s="57">
        <v>48</v>
      </c>
      <c r="R96" s="57">
        <v>0</v>
      </c>
      <c r="S96" s="57">
        <v>3</v>
      </c>
      <c r="T96" s="57"/>
      <c r="U96" s="57"/>
      <c r="V96" s="57"/>
      <c r="W96" s="1">
        <f>SUM(X96:BD96)*(num_weapons_base+num_weapons_mod*COUNT(X96:BD96))</f>
        <v>104.86491428571432</v>
      </c>
      <c r="X96" s="53">
        <f aca="true" t="shared" si="32" ref="X96:AE96">VLOOKUP(X95,weapon,2,FALSE)</f>
        <v>10.530000000000003</v>
      </c>
      <c r="Y96" s="53">
        <f t="shared" si="32"/>
        <v>10.530000000000003</v>
      </c>
      <c r="Z96" s="53">
        <f t="shared" si="32"/>
        <v>10.530000000000003</v>
      </c>
      <c r="AA96" s="53">
        <f t="shared" si="32"/>
        <v>10.530000000000003</v>
      </c>
      <c r="AB96" s="53">
        <f t="shared" si="32"/>
        <v>10.530000000000003</v>
      </c>
      <c r="AC96" s="53">
        <f t="shared" si="32"/>
        <v>10.530000000000003</v>
      </c>
      <c r="AD96" s="53">
        <f t="shared" si="32"/>
        <v>9.372857142857145</v>
      </c>
      <c r="AE96" s="53">
        <f t="shared" si="32"/>
        <v>9.372857142857145</v>
      </c>
      <c r="AF96" s="53"/>
      <c r="AG96" s="53"/>
      <c r="AH96" s="53"/>
      <c r="AI96" s="53"/>
      <c r="AJ96" s="53"/>
      <c r="AK96" s="53"/>
      <c r="AL96" s="53"/>
      <c r="AM96" s="53"/>
      <c r="AN96" s="53"/>
      <c r="AO96" s="53"/>
      <c r="AP96" s="53"/>
      <c r="AQ96" s="53"/>
      <c r="AR96" s="53"/>
      <c r="AS96" s="53"/>
      <c r="AT96" s="53"/>
      <c r="AU96" s="53"/>
      <c r="AV96" s="53"/>
      <c r="AW96" s="53"/>
      <c r="AX96" s="53"/>
      <c r="AY96" s="43"/>
      <c r="AZ96" s="43"/>
      <c r="BA96" s="43"/>
      <c r="BB96" s="43"/>
      <c r="BC96" s="43"/>
      <c r="BD96" s="43"/>
      <c r="BE96" s="43"/>
      <c r="BF96" s="43"/>
      <c r="BG96" s="43"/>
    </row>
    <row r="97" spans="2:59" ht="12.75">
      <c r="B97" s="12"/>
      <c r="C97" s="42"/>
      <c r="D97" s="42"/>
      <c r="E97" s="57"/>
      <c r="F97" s="57"/>
      <c r="G97" s="58"/>
      <c r="H97" s="5"/>
      <c r="I97" s="5"/>
      <c r="J97" s="5"/>
      <c r="K97" s="57"/>
      <c r="L97" s="57"/>
      <c r="M97" s="57"/>
      <c r="N97" s="57"/>
      <c r="O97" s="57"/>
      <c r="P97" s="57"/>
      <c r="Q97" s="57"/>
      <c r="R97" s="57"/>
      <c r="S97" s="57"/>
      <c r="T97" s="57"/>
      <c r="U97" s="57"/>
      <c r="V97" s="57"/>
      <c r="W97" s="1"/>
      <c r="X97" s="43" t="s">
        <v>294</v>
      </c>
      <c r="Y97" s="43" t="s">
        <v>294</v>
      </c>
      <c r="Z97" s="43" t="s">
        <v>294</v>
      </c>
      <c r="AA97" s="43" t="s">
        <v>294</v>
      </c>
      <c r="AB97" s="43" t="s">
        <v>247</v>
      </c>
      <c r="AC97" s="43" t="s">
        <v>247</v>
      </c>
      <c r="AD97" s="43" t="s">
        <v>247</v>
      </c>
      <c r="AE97" s="43" t="s">
        <v>306</v>
      </c>
      <c r="AF97" s="43" t="s">
        <v>306</v>
      </c>
      <c r="AG97" s="43" t="s">
        <v>306</v>
      </c>
      <c r="AH97" s="43" t="s">
        <v>306</v>
      </c>
      <c r="AI97" s="43" t="s">
        <v>306</v>
      </c>
      <c r="AJ97" s="43" t="s">
        <v>306</v>
      </c>
      <c r="AK97" s="43" t="s">
        <v>306</v>
      </c>
      <c r="AL97" s="43" t="s">
        <v>306</v>
      </c>
      <c r="AM97" s="43" t="s">
        <v>306</v>
      </c>
      <c r="AN97" s="43" t="s">
        <v>306</v>
      </c>
      <c r="AO97" s="43" t="s">
        <v>306</v>
      </c>
      <c r="AP97" s="43" t="s">
        <v>306</v>
      </c>
      <c r="AQ97" s="43" t="s">
        <v>306</v>
      </c>
      <c r="AR97" s="43" t="s">
        <v>306</v>
      </c>
      <c r="AS97" s="43" t="s">
        <v>306</v>
      </c>
      <c r="AT97" s="43" t="s">
        <v>306</v>
      </c>
      <c r="AU97" s="43" t="s">
        <v>306</v>
      </c>
      <c r="AV97" s="43" t="s">
        <v>306</v>
      </c>
      <c r="AW97" s="43" t="s">
        <v>306</v>
      </c>
      <c r="AX97" s="43" t="s">
        <v>306</v>
      </c>
      <c r="AY97" s="43"/>
      <c r="AZ97" s="43"/>
      <c r="BA97" s="43"/>
      <c r="BB97" s="43"/>
      <c r="BC97" s="43"/>
      <c r="BD97" s="43"/>
      <c r="BE97" s="43"/>
      <c r="BF97" s="43"/>
      <c r="BG97" s="43"/>
    </row>
    <row r="98" spans="2:59" ht="12.75">
      <c r="B98" s="12" t="s">
        <v>531</v>
      </c>
      <c r="C98" s="1">
        <f>E98*(VLOOKUP(D98,Race,2,FALSE)*(N98*init_bonus+O98+P98*front+Q98*Back+R98+S98*armour+SUM(T98:V98))*(Thrust_base+(I98/J98)/Thrust_div)*POWER(W98,Weapon_power))/(POWER(signature,(L98-M98)))*IF(K98="Y",gravitic,1)*IF(H98="Y",agile,1)/divisor</f>
        <v>96.50140056710921</v>
      </c>
      <c r="D98" s="1" t="s">
        <v>522</v>
      </c>
      <c r="E98" s="57">
        <v>1</v>
      </c>
      <c r="F98" s="57"/>
      <c r="G98" s="58">
        <v>0</v>
      </c>
      <c r="H98" s="52" t="s">
        <v>2</v>
      </c>
      <c r="I98" s="52">
        <v>10</v>
      </c>
      <c r="J98" s="52">
        <v>2</v>
      </c>
      <c r="K98" s="57" t="s">
        <v>21</v>
      </c>
      <c r="L98" s="57">
        <v>2</v>
      </c>
      <c r="M98" s="57">
        <v>6</v>
      </c>
      <c r="N98" s="57">
        <v>12</v>
      </c>
      <c r="O98" s="57">
        <v>45</v>
      </c>
      <c r="P98" s="57">
        <v>0</v>
      </c>
      <c r="Q98" s="57">
        <v>0</v>
      </c>
      <c r="R98" s="57">
        <v>0</v>
      </c>
      <c r="S98" s="57">
        <v>1</v>
      </c>
      <c r="T98" s="57"/>
      <c r="U98" s="57"/>
      <c r="V98" s="57"/>
      <c r="W98" s="1">
        <f>SUM(X98:BD98)*(num_weapons_base+num_weapons_mod*COUNT(X98:BD98))</f>
        <v>78.56117871428572</v>
      </c>
      <c r="X98" s="53">
        <f aca="true" t="shared" si="33" ref="X98:AD98">VLOOKUP(X97,weapon,2,FALSE)</f>
        <v>11.247428571428571</v>
      </c>
      <c r="Y98" s="53">
        <f t="shared" si="33"/>
        <v>11.247428571428571</v>
      </c>
      <c r="Z98" s="53">
        <f t="shared" si="33"/>
        <v>11.247428571428571</v>
      </c>
      <c r="AA98" s="53">
        <f t="shared" si="33"/>
        <v>11.247428571428571</v>
      </c>
      <c r="AB98" s="53">
        <f t="shared" si="33"/>
        <v>6.122025</v>
      </c>
      <c r="AC98" s="53">
        <f t="shared" si="33"/>
        <v>6.122025</v>
      </c>
      <c r="AD98" s="53">
        <f t="shared" si="33"/>
        <v>6.122025</v>
      </c>
      <c r="AE98" s="53"/>
      <c r="AF98" s="53"/>
      <c r="AG98" s="53"/>
      <c r="AH98" s="53"/>
      <c r="AI98" s="53"/>
      <c r="AJ98" s="53"/>
      <c r="AK98" s="53"/>
      <c r="AL98" s="53"/>
      <c r="AM98" s="53"/>
      <c r="AN98" s="53"/>
      <c r="AO98" s="53"/>
      <c r="AP98" s="53"/>
      <c r="AQ98" s="53"/>
      <c r="AR98" s="53"/>
      <c r="AS98" s="53"/>
      <c r="AT98" s="53"/>
      <c r="AU98" s="53"/>
      <c r="AV98" s="53"/>
      <c r="AW98" s="53"/>
      <c r="AX98" s="53"/>
      <c r="AY98" s="43"/>
      <c r="AZ98" s="43"/>
      <c r="BA98" s="43"/>
      <c r="BB98" s="43"/>
      <c r="BC98" s="43"/>
      <c r="BD98" s="43"/>
      <c r="BE98" s="43"/>
      <c r="BF98" s="43"/>
      <c r="BG98" s="43"/>
    </row>
    <row r="99" spans="2:59" ht="12.75">
      <c r="B99" s="12"/>
      <c r="C99" s="42"/>
      <c r="D99" s="42"/>
      <c r="E99" s="57"/>
      <c r="F99" s="57"/>
      <c r="G99" s="58"/>
      <c r="H99" s="5"/>
      <c r="I99" s="5"/>
      <c r="J99" s="5"/>
      <c r="K99" s="57"/>
      <c r="L99" s="57"/>
      <c r="M99" s="57"/>
      <c r="N99" s="57"/>
      <c r="O99" s="57"/>
      <c r="P99" s="57"/>
      <c r="Q99" s="57"/>
      <c r="R99" s="57"/>
      <c r="S99" s="57"/>
      <c r="T99" s="57"/>
      <c r="U99" s="57"/>
      <c r="V99" s="57"/>
      <c r="W99" s="1"/>
      <c r="X99" s="43" t="s">
        <v>265</v>
      </c>
      <c r="Y99" s="43" t="s">
        <v>265</v>
      </c>
      <c r="Z99" s="43" t="s">
        <v>316</v>
      </c>
      <c r="AA99" s="43" t="s">
        <v>294</v>
      </c>
      <c r="AB99" s="43" t="s">
        <v>294</v>
      </c>
      <c r="AC99" s="43" t="s">
        <v>249</v>
      </c>
      <c r="AD99" s="43" t="s">
        <v>306</v>
      </c>
      <c r="AE99" s="43" t="s">
        <v>306</v>
      </c>
      <c r="AF99" s="43" t="s">
        <v>306</v>
      </c>
      <c r="AG99" s="43" t="s">
        <v>306</v>
      </c>
      <c r="AH99" s="43" t="s">
        <v>306</v>
      </c>
      <c r="AI99" s="43" t="s">
        <v>306</v>
      </c>
      <c r="AJ99" s="43" t="s">
        <v>306</v>
      </c>
      <c r="AK99" s="43" t="s">
        <v>306</v>
      </c>
      <c r="AL99" s="43" t="s">
        <v>306</v>
      </c>
      <c r="AM99" s="43" t="s">
        <v>306</v>
      </c>
      <c r="AN99" s="43" t="s">
        <v>306</v>
      </c>
      <c r="AO99" s="43" t="s">
        <v>306</v>
      </c>
      <c r="AP99" s="43" t="s">
        <v>306</v>
      </c>
      <c r="AQ99" s="43" t="s">
        <v>306</v>
      </c>
      <c r="AR99" s="43" t="s">
        <v>306</v>
      </c>
      <c r="AS99" s="43" t="s">
        <v>306</v>
      </c>
      <c r="AT99" s="43" t="s">
        <v>306</v>
      </c>
      <c r="AU99" s="43" t="s">
        <v>306</v>
      </c>
      <c r="AV99" s="43" t="s">
        <v>306</v>
      </c>
      <c r="AW99" s="43" t="s">
        <v>306</v>
      </c>
      <c r="AX99" s="43" t="s">
        <v>306</v>
      </c>
      <c r="AY99" s="43"/>
      <c r="AZ99" s="43"/>
      <c r="BA99" s="43"/>
      <c r="BB99" s="43"/>
      <c r="BC99" s="43"/>
      <c r="BD99" s="43"/>
      <c r="BE99" s="43"/>
      <c r="BF99" s="43"/>
      <c r="BG99" s="43"/>
    </row>
    <row r="100" spans="2:59" ht="12.75">
      <c r="B100" s="12" t="s">
        <v>532</v>
      </c>
      <c r="C100" s="1">
        <f>E100*(VLOOKUP(D100,Race,2,FALSE)*(N100*init_bonus+O100+P100*front+Q100*Back+R100+S100*armour+SUM(T100:V100))*(Thrust_base+(I100/J100)/Thrust_div)*POWER(W100,Weapon_power))/(POWER(signature,(L100-M100)))*IF(K100="Y",gravitic,1)*IF(H100="Y",agile,1)/divisor</f>
        <v>91.74946744328774</v>
      </c>
      <c r="D100" s="1" t="s">
        <v>522</v>
      </c>
      <c r="E100" s="57">
        <v>1</v>
      </c>
      <c r="F100" s="57"/>
      <c r="G100" s="58">
        <v>0</v>
      </c>
      <c r="H100" s="52" t="s">
        <v>2</v>
      </c>
      <c r="I100" s="52">
        <v>10</v>
      </c>
      <c r="J100" s="52">
        <v>2</v>
      </c>
      <c r="K100" s="57" t="s">
        <v>21</v>
      </c>
      <c r="L100" s="57">
        <v>3</v>
      </c>
      <c r="M100" s="57">
        <v>6</v>
      </c>
      <c r="N100" s="57">
        <v>12</v>
      </c>
      <c r="O100" s="57">
        <v>50</v>
      </c>
      <c r="P100" s="57">
        <v>0</v>
      </c>
      <c r="Q100" s="57">
        <v>0</v>
      </c>
      <c r="R100" s="57">
        <v>0</v>
      </c>
      <c r="S100" s="57">
        <v>1</v>
      </c>
      <c r="T100" s="57"/>
      <c r="U100" s="57"/>
      <c r="V100" s="57"/>
      <c r="W100" s="1">
        <f>SUM(X100:BD100)*(num_weapons_base+num_weapons_mod*COUNT(X100:BD100))</f>
        <v>76.33092857142857</v>
      </c>
      <c r="X100" s="53">
        <f aca="true" t="shared" si="34" ref="X100:AC100">VLOOKUP(X99,weapon,2,FALSE)</f>
        <v>10.530000000000003</v>
      </c>
      <c r="Y100" s="53">
        <f t="shared" si="34"/>
        <v>10.530000000000003</v>
      </c>
      <c r="Z100" s="53">
        <f t="shared" si="34"/>
        <v>15.345</v>
      </c>
      <c r="AA100" s="53">
        <f t="shared" si="34"/>
        <v>11.247428571428571</v>
      </c>
      <c r="AB100" s="53">
        <f t="shared" si="34"/>
        <v>11.247428571428571</v>
      </c>
      <c r="AC100" s="53">
        <f t="shared" si="34"/>
        <v>4.709249999999999</v>
      </c>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43"/>
      <c r="AZ100" s="43"/>
      <c r="BA100" s="43"/>
      <c r="BB100" s="43"/>
      <c r="BC100" s="43"/>
      <c r="BD100" s="43"/>
      <c r="BE100" s="43"/>
      <c r="BF100" s="43"/>
      <c r="BG100" s="43"/>
    </row>
    <row r="101" spans="2:59" ht="12.75">
      <c r="B101" s="12"/>
      <c r="C101" s="42"/>
      <c r="D101" s="42"/>
      <c r="E101" s="57"/>
      <c r="F101" s="57"/>
      <c r="G101" s="58"/>
      <c r="H101" s="5"/>
      <c r="I101" s="5"/>
      <c r="J101" s="5"/>
      <c r="K101" s="57"/>
      <c r="L101" s="57"/>
      <c r="M101" s="57"/>
      <c r="N101" s="57"/>
      <c r="O101" s="57"/>
      <c r="P101" s="57"/>
      <c r="Q101" s="57"/>
      <c r="R101" s="57"/>
      <c r="S101" s="57"/>
      <c r="T101" s="57"/>
      <c r="U101" s="57"/>
      <c r="V101" s="57"/>
      <c r="W101" s="1"/>
      <c r="X101" s="43" t="s">
        <v>415</v>
      </c>
      <c r="Y101" s="43" t="s">
        <v>415</v>
      </c>
      <c r="Z101" s="43" t="s">
        <v>415</v>
      </c>
      <c r="AA101" s="43" t="s">
        <v>415</v>
      </c>
      <c r="AB101" s="43" t="s">
        <v>415</v>
      </c>
      <c r="AC101" s="43" t="s">
        <v>415</v>
      </c>
      <c r="AD101" s="43" t="s">
        <v>265</v>
      </c>
      <c r="AE101" s="43" t="s">
        <v>265</v>
      </c>
      <c r="AF101" s="43" t="s">
        <v>265</v>
      </c>
      <c r="AG101" s="43" t="s">
        <v>265</v>
      </c>
      <c r="AH101" s="43" t="s">
        <v>265</v>
      </c>
      <c r="AI101" s="43" t="s">
        <v>265</v>
      </c>
      <c r="AJ101" s="43" t="s">
        <v>292</v>
      </c>
      <c r="AK101" s="43" t="s">
        <v>292</v>
      </c>
      <c r="AL101" s="43" t="s">
        <v>292</v>
      </c>
      <c r="AM101" s="43" t="s">
        <v>292</v>
      </c>
      <c r="AN101" s="43" t="s">
        <v>292</v>
      </c>
      <c r="AO101" s="43" t="s">
        <v>292</v>
      </c>
      <c r="AP101" s="43" t="s">
        <v>292</v>
      </c>
      <c r="AQ101" s="43" t="s">
        <v>292</v>
      </c>
      <c r="AR101" s="43" t="s">
        <v>292</v>
      </c>
      <c r="AS101" s="43" t="s">
        <v>292</v>
      </c>
      <c r="AT101" s="43" t="s">
        <v>292</v>
      </c>
      <c r="AU101" s="43" t="s">
        <v>292</v>
      </c>
      <c r="AV101" s="43" t="s">
        <v>306</v>
      </c>
      <c r="AW101" s="43" t="s">
        <v>306</v>
      </c>
      <c r="AX101" s="43" t="s">
        <v>306</v>
      </c>
      <c r="AY101" s="43"/>
      <c r="AZ101" s="43"/>
      <c r="BA101" s="43"/>
      <c r="BB101" s="43"/>
      <c r="BC101" s="43"/>
      <c r="BD101" s="43"/>
      <c r="BE101" s="43"/>
      <c r="BF101" s="43"/>
      <c r="BG101" s="43"/>
    </row>
    <row r="102" spans="2:59" ht="12.75">
      <c r="B102" s="12" t="s">
        <v>533</v>
      </c>
      <c r="C102" s="1" t="e">
        <f>E102*(VLOOKUP(D102,Race,2,FALSE)*(N102*init_bonus+O102+P102*front+Q102*Back+R102+S102*armour+SUM(T102:V102))*(Thrust_base+(I102/J102)/Thrust_div)*POWER(W102,Weapon_power))/(POWER(signature,(L102-M102)))*IF(K102="Y",gravitic,1)*IF(H102="Y",agile,1)/divisor</f>
        <v>#N/A</v>
      </c>
      <c r="D102" s="1" t="s">
        <v>522</v>
      </c>
      <c r="E102" s="57">
        <v>1</v>
      </c>
      <c r="F102" s="57">
        <v>24</v>
      </c>
      <c r="G102" s="58">
        <f>C110*F102</f>
        <v>143.3038824753462</v>
      </c>
      <c r="H102" s="52" t="s">
        <v>21</v>
      </c>
      <c r="I102" s="52">
        <v>10</v>
      </c>
      <c r="J102" s="52">
        <v>4</v>
      </c>
      <c r="K102" s="57" t="s">
        <v>21</v>
      </c>
      <c r="L102" s="57">
        <v>17</v>
      </c>
      <c r="M102" s="57">
        <v>11</v>
      </c>
      <c r="N102" s="57">
        <v>0</v>
      </c>
      <c r="O102" s="57">
        <v>60</v>
      </c>
      <c r="P102" s="57">
        <v>68</v>
      </c>
      <c r="Q102" s="57">
        <v>68</v>
      </c>
      <c r="R102" s="57">
        <v>80</v>
      </c>
      <c r="S102" s="57">
        <v>5.5</v>
      </c>
      <c r="T102" s="57"/>
      <c r="U102" s="57"/>
      <c r="V102" s="57"/>
      <c r="W102" s="1" t="e">
        <f>SUM(X102:BD102)*(num_weapons_base+num_weapons_mod*COUNT(X102:BD102))</f>
        <v>#N/A</v>
      </c>
      <c r="X102" s="53">
        <f aca="true" t="shared" si="35" ref="X102:AW102">VLOOKUP(X101,weapon,2,FALSE)</f>
        <v>32.36766467065869</v>
      </c>
      <c r="Y102" s="53">
        <f t="shared" si="35"/>
        <v>32.36766467065869</v>
      </c>
      <c r="Z102" s="53">
        <f t="shared" si="35"/>
        <v>32.36766467065869</v>
      </c>
      <c r="AA102" s="53">
        <f t="shared" si="35"/>
        <v>32.36766467065869</v>
      </c>
      <c r="AB102" s="53">
        <f t="shared" si="35"/>
        <v>32.36766467065869</v>
      </c>
      <c r="AC102" s="53">
        <f t="shared" si="35"/>
        <v>32.36766467065869</v>
      </c>
      <c r="AD102" s="53">
        <f t="shared" si="35"/>
        <v>10.530000000000003</v>
      </c>
      <c r="AE102" s="53">
        <f t="shared" si="35"/>
        <v>10.530000000000003</v>
      </c>
      <c r="AF102" s="53">
        <f t="shared" si="35"/>
        <v>10.530000000000003</v>
      </c>
      <c r="AG102" s="53">
        <f t="shared" si="35"/>
        <v>10.530000000000003</v>
      </c>
      <c r="AH102" s="53">
        <f t="shared" si="35"/>
        <v>10.530000000000003</v>
      </c>
      <c r="AI102" s="53">
        <f t="shared" si="35"/>
        <v>10.530000000000003</v>
      </c>
      <c r="AJ102" s="53">
        <f t="shared" si="35"/>
        <v>10.310142857142857</v>
      </c>
      <c r="AK102" s="53">
        <f t="shared" si="35"/>
        <v>10.310142857142857</v>
      </c>
      <c r="AL102" s="53">
        <f t="shared" si="35"/>
        <v>10.310142857142857</v>
      </c>
      <c r="AM102" s="53">
        <f t="shared" si="35"/>
        <v>10.310142857142857</v>
      </c>
      <c r="AN102" s="53">
        <f t="shared" si="35"/>
        <v>10.310142857142857</v>
      </c>
      <c r="AO102" s="53">
        <f t="shared" si="35"/>
        <v>10.310142857142857</v>
      </c>
      <c r="AP102" s="53">
        <f t="shared" si="35"/>
        <v>10.310142857142857</v>
      </c>
      <c r="AQ102" s="53">
        <f t="shared" si="35"/>
        <v>10.310142857142857</v>
      </c>
      <c r="AR102" s="53">
        <f t="shared" si="35"/>
        <v>10.310142857142857</v>
      </c>
      <c r="AS102" s="53">
        <f t="shared" si="35"/>
        <v>10.310142857142857</v>
      </c>
      <c r="AT102" s="53">
        <f t="shared" si="35"/>
        <v>10.310142857142857</v>
      </c>
      <c r="AU102" s="53">
        <f t="shared" si="35"/>
        <v>10.310142857142857</v>
      </c>
      <c r="AV102" s="53" t="e">
        <f t="shared" si="35"/>
        <v>#N/A</v>
      </c>
      <c r="AW102" s="53" t="e">
        <f t="shared" si="35"/>
        <v>#N/A</v>
      </c>
      <c r="AX102" s="53"/>
      <c r="AY102" s="43"/>
      <c r="AZ102" s="43"/>
      <c r="BA102" s="43"/>
      <c r="BB102" s="43"/>
      <c r="BC102" s="43"/>
      <c r="BD102" s="43"/>
      <c r="BE102" s="43"/>
      <c r="BF102" s="43"/>
      <c r="BG102" s="43"/>
    </row>
    <row r="103" spans="2:59" ht="12.75">
      <c r="B103" s="12"/>
      <c r="C103" s="42"/>
      <c r="D103" s="42"/>
      <c r="E103" s="57"/>
      <c r="F103" s="57"/>
      <c r="G103" s="58"/>
      <c r="H103" s="5"/>
      <c r="I103" s="5"/>
      <c r="J103" s="5"/>
      <c r="K103" s="57"/>
      <c r="L103" s="57"/>
      <c r="M103" s="57"/>
      <c r="N103" s="57"/>
      <c r="O103" s="57"/>
      <c r="P103" s="57"/>
      <c r="Q103" s="57"/>
      <c r="R103" s="57"/>
      <c r="S103" s="57"/>
      <c r="T103" s="57"/>
      <c r="U103" s="57"/>
      <c r="V103" s="57"/>
      <c r="W103" s="1"/>
      <c r="X103" s="43" t="s">
        <v>415</v>
      </c>
      <c r="Y103" s="43" t="s">
        <v>415</v>
      </c>
      <c r="Z103" s="43" t="s">
        <v>415</v>
      </c>
      <c r="AA103" s="43" t="s">
        <v>415</v>
      </c>
      <c r="AB103" s="43" t="s">
        <v>366</v>
      </c>
      <c r="AC103" s="43" t="s">
        <v>366</v>
      </c>
      <c r="AD103" s="43" t="s">
        <v>366</v>
      </c>
      <c r="AE103" s="43" t="s">
        <v>366</v>
      </c>
      <c r="AF103" s="43" t="s">
        <v>295</v>
      </c>
      <c r="AG103" s="43" t="s">
        <v>295</v>
      </c>
      <c r="AH103" s="43" t="s">
        <v>295</v>
      </c>
      <c r="AI103" s="43" t="s">
        <v>295</v>
      </c>
      <c r="AJ103" s="43" t="s">
        <v>306</v>
      </c>
      <c r="AK103" s="43" t="s">
        <v>306</v>
      </c>
      <c r="AL103" s="43" t="s">
        <v>306</v>
      </c>
      <c r="AM103" s="43" t="s">
        <v>306</v>
      </c>
      <c r="AN103" s="43" t="s">
        <v>306</v>
      </c>
      <c r="AO103" s="43" t="s">
        <v>306</v>
      </c>
      <c r="AP103" s="43" t="s">
        <v>306</v>
      </c>
      <c r="AQ103" s="43" t="s">
        <v>306</v>
      </c>
      <c r="AR103" s="43" t="s">
        <v>306</v>
      </c>
      <c r="AS103" s="43" t="s">
        <v>306</v>
      </c>
      <c r="AT103" s="43" t="s">
        <v>306</v>
      </c>
      <c r="AU103" s="43" t="s">
        <v>306</v>
      </c>
      <c r="AV103" s="43" t="s">
        <v>306</v>
      </c>
      <c r="AW103" s="43" t="s">
        <v>306</v>
      </c>
      <c r="AX103" s="43" t="s">
        <v>306</v>
      </c>
      <c r="AY103" s="43"/>
      <c r="AZ103" s="43"/>
      <c r="BA103" s="43"/>
      <c r="BB103" s="43"/>
      <c r="BC103" s="43"/>
      <c r="BD103" s="43"/>
      <c r="BE103" s="43"/>
      <c r="BF103" s="43"/>
      <c r="BG103" s="43"/>
    </row>
    <row r="104" spans="2:59" ht="12.75">
      <c r="B104" s="12" t="s">
        <v>534</v>
      </c>
      <c r="C104" s="1">
        <f>E104*(VLOOKUP(D104,Race,2,FALSE)*(N104*init_bonus+O104+P104*front+Q104*Back+R104+S104*armour+SUM(T104:V104))*(Thrust_base+(I104/J104)/Thrust_div)*POWER(W104,Weapon_power))/(POWER(signature,(L104-M104)))*IF(K104="Y",gravitic,1)*IF(H104="Y",agile,1)/divisor</f>
        <v>421.9283588797696</v>
      </c>
      <c r="D104" s="1" t="s">
        <v>522</v>
      </c>
      <c r="E104" s="57">
        <v>1</v>
      </c>
      <c r="F104" s="57">
        <v>12</v>
      </c>
      <c r="G104" s="58">
        <f>C110*F104</f>
        <v>71.6519412376731</v>
      </c>
      <c r="H104" s="52" t="s">
        <v>21</v>
      </c>
      <c r="I104" s="52">
        <v>10</v>
      </c>
      <c r="J104" s="52">
        <v>3</v>
      </c>
      <c r="K104" s="57" t="s">
        <v>21</v>
      </c>
      <c r="L104" s="57">
        <v>15</v>
      </c>
      <c r="M104" s="57">
        <v>10</v>
      </c>
      <c r="N104" s="57">
        <v>0</v>
      </c>
      <c r="O104" s="57">
        <v>40</v>
      </c>
      <c r="P104" s="57">
        <v>42</v>
      </c>
      <c r="Q104" s="57">
        <v>40</v>
      </c>
      <c r="R104" s="57">
        <v>42</v>
      </c>
      <c r="S104" s="57">
        <v>5</v>
      </c>
      <c r="T104" s="57"/>
      <c r="U104" s="57"/>
      <c r="V104" s="57"/>
      <c r="W104" s="1">
        <f>SUM(X104:BD104)*(num_weapons_base+num_weapons_mod*COUNT(X104:BD104))</f>
        <v>398.95360678870827</v>
      </c>
      <c r="X104" s="53">
        <f aca="true" t="shared" si="36" ref="X104:AI104">VLOOKUP(X103,weapon,2,FALSE)</f>
        <v>32.36766467065869</v>
      </c>
      <c r="Y104" s="53">
        <f t="shared" si="36"/>
        <v>32.36766467065869</v>
      </c>
      <c r="Z104" s="53">
        <f t="shared" si="36"/>
        <v>32.36766467065869</v>
      </c>
      <c r="AA104" s="53">
        <f t="shared" si="36"/>
        <v>32.36766467065869</v>
      </c>
      <c r="AB104" s="53">
        <f t="shared" si="36"/>
        <v>24.710400000000003</v>
      </c>
      <c r="AC104" s="53">
        <f t="shared" si="36"/>
        <v>24.710400000000003</v>
      </c>
      <c r="AD104" s="53">
        <f t="shared" si="36"/>
        <v>24.710400000000003</v>
      </c>
      <c r="AE104" s="53">
        <f t="shared" si="36"/>
        <v>24.710400000000003</v>
      </c>
      <c r="AF104" s="53">
        <f t="shared" si="36"/>
        <v>12.184714285714287</v>
      </c>
      <c r="AG104" s="53">
        <f t="shared" si="36"/>
        <v>12.184714285714287</v>
      </c>
      <c r="AH104" s="53">
        <f t="shared" si="36"/>
        <v>12.184714285714287</v>
      </c>
      <c r="AI104" s="53">
        <f t="shared" si="36"/>
        <v>12.184714285714287</v>
      </c>
      <c r="AJ104" s="53"/>
      <c r="AK104" s="53"/>
      <c r="AL104" s="53"/>
      <c r="AM104" s="53"/>
      <c r="AN104" s="53"/>
      <c r="AO104" s="53"/>
      <c r="AP104" s="53"/>
      <c r="AQ104" s="53"/>
      <c r="AR104" s="53"/>
      <c r="AS104" s="53"/>
      <c r="AT104" s="53"/>
      <c r="AU104" s="53"/>
      <c r="AV104" s="53"/>
      <c r="AW104" s="53"/>
      <c r="AX104" s="53"/>
      <c r="AY104" s="43"/>
      <c r="AZ104" s="43"/>
      <c r="BA104" s="43"/>
      <c r="BB104" s="43"/>
      <c r="BC104" s="43"/>
      <c r="BD104" s="43"/>
      <c r="BE104" s="43"/>
      <c r="BF104" s="43"/>
      <c r="BG104" s="43"/>
    </row>
    <row r="105" spans="2:59" ht="12.75">
      <c r="B105" s="12"/>
      <c r="C105" s="42"/>
      <c r="D105" s="42"/>
      <c r="E105" s="57"/>
      <c r="F105" s="57"/>
      <c r="G105" s="58"/>
      <c r="H105" s="5"/>
      <c r="I105" s="5"/>
      <c r="J105" s="5"/>
      <c r="K105" s="57"/>
      <c r="L105" s="57"/>
      <c r="M105" s="57"/>
      <c r="N105" s="57"/>
      <c r="O105" s="57"/>
      <c r="P105" s="57"/>
      <c r="Q105" s="57"/>
      <c r="R105" s="57"/>
      <c r="S105" s="57"/>
      <c r="T105" s="57"/>
      <c r="U105" s="57"/>
      <c r="V105" s="57"/>
      <c r="W105" s="1"/>
      <c r="X105" s="43" t="s">
        <v>415</v>
      </c>
      <c r="Y105" s="43" t="s">
        <v>294</v>
      </c>
      <c r="Z105" s="43" t="s">
        <v>294</v>
      </c>
      <c r="AA105" s="43" t="s">
        <v>294</v>
      </c>
      <c r="AB105" s="43" t="s">
        <v>294</v>
      </c>
      <c r="AC105" s="43" t="s">
        <v>249</v>
      </c>
      <c r="AD105" s="43" t="s">
        <v>249</v>
      </c>
      <c r="AE105" s="43" t="s">
        <v>249</v>
      </c>
      <c r="AF105" s="43" t="s">
        <v>249</v>
      </c>
      <c r="AG105" s="43" t="s">
        <v>306</v>
      </c>
      <c r="AH105" s="43" t="s">
        <v>306</v>
      </c>
      <c r="AI105" s="43" t="s">
        <v>306</v>
      </c>
      <c r="AJ105" s="43" t="s">
        <v>306</v>
      </c>
      <c r="AK105" s="43" t="s">
        <v>306</v>
      </c>
      <c r="AL105" s="43" t="s">
        <v>306</v>
      </c>
      <c r="AM105" s="43" t="s">
        <v>306</v>
      </c>
      <c r="AN105" s="43" t="s">
        <v>306</v>
      </c>
      <c r="AO105" s="43" t="s">
        <v>306</v>
      </c>
      <c r="AP105" s="43" t="s">
        <v>306</v>
      </c>
      <c r="AQ105" s="43" t="s">
        <v>306</v>
      </c>
      <c r="AR105" s="43" t="s">
        <v>306</v>
      </c>
      <c r="AS105" s="43" t="s">
        <v>306</v>
      </c>
      <c r="AT105" s="43" t="s">
        <v>306</v>
      </c>
      <c r="AU105" s="43" t="s">
        <v>306</v>
      </c>
      <c r="AV105" s="43" t="s">
        <v>306</v>
      </c>
      <c r="AW105" s="43" t="s">
        <v>306</v>
      </c>
      <c r="AX105" s="43" t="s">
        <v>306</v>
      </c>
      <c r="AY105" s="43"/>
      <c r="AZ105" s="43"/>
      <c r="BA105" s="43"/>
      <c r="BB105" s="43"/>
      <c r="BC105" s="43"/>
      <c r="BD105" s="43"/>
      <c r="BE105" s="43"/>
      <c r="BF105" s="43"/>
      <c r="BG105" s="43"/>
    </row>
    <row r="106" spans="2:59" ht="12.75">
      <c r="B106" s="12" t="s">
        <v>535</v>
      </c>
      <c r="C106" s="1">
        <f>E106*(VLOOKUP(D106,Race,2,FALSE)*(N106*init_bonus+O106+P106*front+Q106*Back+R106+S106*armour+SUM(T106:V106))*(Thrust_base+(I106/J106)/Thrust_div)*POWER(W106,Weapon_power))/(POWER(signature,(L106-M106)))*IF(K106="Y",gravitic,1)*IF(H106="Y",agile,1)/divisor</f>
        <v>194.9876911304853</v>
      </c>
      <c r="D106" s="1" t="s">
        <v>522</v>
      </c>
      <c r="E106" s="57">
        <v>1</v>
      </c>
      <c r="F106" s="57"/>
      <c r="G106" s="58">
        <v>0</v>
      </c>
      <c r="H106" s="52" t="s">
        <v>21</v>
      </c>
      <c r="I106" s="52">
        <v>10</v>
      </c>
      <c r="J106" s="52">
        <v>2</v>
      </c>
      <c r="K106" s="57" t="s">
        <v>21</v>
      </c>
      <c r="L106" s="57">
        <v>5</v>
      </c>
      <c r="M106" s="57">
        <v>7</v>
      </c>
      <c r="N106" s="57">
        <v>6</v>
      </c>
      <c r="O106" s="57">
        <v>40</v>
      </c>
      <c r="P106" s="57">
        <v>60</v>
      </c>
      <c r="Q106" s="57">
        <v>60</v>
      </c>
      <c r="R106" s="57">
        <v>0</v>
      </c>
      <c r="S106" s="57">
        <v>3</v>
      </c>
      <c r="T106" s="57"/>
      <c r="U106" s="57"/>
      <c r="V106" s="57"/>
      <c r="W106" s="1">
        <f>SUM(X106:BD106)*(num_weapons_base+num_weapons_mod*COUNT(X106:BD106))</f>
        <v>126.9765802224123</v>
      </c>
      <c r="X106" s="53">
        <f aca="true" t="shared" si="37" ref="X106:AF106">VLOOKUP(X105,weapon,2,FALSE)</f>
        <v>32.36766467065869</v>
      </c>
      <c r="Y106" s="53">
        <f t="shared" si="37"/>
        <v>11.247428571428571</v>
      </c>
      <c r="Z106" s="53">
        <f t="shared" si="37"/>
        <v>11.247428571428571</v>
      </c>
      <c r="AA106" s="53">
        <f t="shared" si="37"/>
        <v>11.247428571428571</v>
      </c>
      <c r="AB106" s="53">
        <f t="shared" si="37"/>
        <v>11.247428571428571</v>
      </c>
      <c r="AC106" s="53">
        <f t="shared" si="37"/>
        <v>4.709249999999999</v>
      </c>
      <c r="AD106" s="53">
        <f t="shared" si="37"/>
        <v>4.709249999999999</v>
      </c>
      <c r="AE106" s="53">
        <f t="shared" si="37"/>
        <v>4.709249999999999</v>
      </c>
      <c r="AF106" s="53">
        <f t="shared" si="37"/>
        <v>4.709249999999999</v>
      </c>
      <c r="AG106" s="53"/>
      <c r="AH106" s="53"/>
      <c r="AI106" s="53"/>
      <c r="AJ106" s="53"/>
      <c r="AK106" s="53"/>
      <c r="AL106" s="53"/>
      <c r="AM106" s="53"/>
      <c r="AN106" s="53"/>
      <c r="AO106" s="53"/>
      <c r="AP106" s="53"/>
      <c r="AQ106" s="53"/>
      <c r="AR106" s="53"/>
      <c r="AS106" s="53"/>
      <c r="AT106" s="53"/>
      <c r="AU106" s="53"/>
      <c r="AV106" s="53"/>
      <c r="AW106" s="53"/>
      <c r="AX106" s="53"/>
      <c r="AY106" s="43"/>
      <c r="AZ106" s="43"/>
      <c r="BA106" s="43"/>
      <c r="BB106" s="43"/>
      <c r="BC106" s="43"/>
      <c r="BD106" s="43"/>
      <c r="BE106" s="43"/>
      <c r="BF106" s="43"/>
      <c r="BG106" s="43"/>
    </row>
    <row r="107" spans="2:59" ht="12.75">
      <c r="B107" s="12"/>
      <c r="C107" s="42"/>
      <c r="D107" s="42"/>
      <c r="E107" s="57"/>
      <c r="F107" s="57"/>
      <c r="G107" s="58"/>
      <c r="H107" s="5"/>
      <c r="I107" s="5"/>
      <c r="J107" s="5"/>
      <c r="K107" s="57"/>
      <c r="L107" s="57"/>
      <c r="M107" s="57"/>
      <c r="N107" s="57"/>
      <c r="O107" s="57"/>
      <c r="P107" s="57"/>
      <c r="Q107" s="57"/>
      <c r="R107" s="57"/>
      <c r="S107" s="57"/>
      <c r="T107" s="57"/>
      <c r="U107" s="57"/>
      <c r="V107" s="57"/>
      <c r="W107" s="1"/>
      <c r="X107" s="43" t="s">
        <v>321</v>
      </c>
      <c r="Y107" s="43" t="s">
        <v>294</v>
      </c>
      <c r="Z107" s="43" t="s">
        <v>294</v>
      </c>
      <c r="AA107" s="43" t="s">
        <v>306</v>
      </c>
      <c r="AB107" s="43" t="s">
        <v>306</v>
      </c>
      <c r="AC107" s="43" t="s">
        <v>306</v>
      </c>
      <c r="AD107" s="43" t="s">
        <v>306</v>
      </c>
      <c r="AE107" s="43" t="s">
        <v>306</v>
      </c>
      <c r="AF107" s="43" t="s">
        <v>306</v>
      </c>
      <c r="AG107" s="43" t="s">
        <v>306</v>
      </c>
      <c r="AH107" s="43"/>
      <c r="AI107" s="43"/>
      <c r="AJ107" s="43"/>
      <c r="AK107" s="43"/>
      <c r="AL107" s="43"/>
      <c r="AM107" s="43"/>
      <c r="AN107" s="43"/>
      <c r="AO107" s="43"/>
      <c r="AP107" s="43"/>
      <c r="AQ107" s="43"/>
      <c r="AR107" s="43"/>
      <c r="AS107" s="43"/>
      <c r="AT107" s="43"/>
      <c r="AU107" s="43"/>
      <c r="AV107" s="43"/>
      <c r="AW107" s="43"/>
      <c r="AX107" s="43" t="s">
        <v>306</v>
      </c>
      <c r="AY107" s="43"/>
      <c r="AZ107" s="43"/>
      <c r="BA107" s="43"/>
      <c r="BB107" s="43"/>
      <c r="BC107" s="43"/>
      <c r="BD107" s="43"/>
      <c r="BE107" s="43"/>
      <c r="BF107" s="43"/>
      <c r="BG107" s="43"/>
    </row>
    <row r="108" spans="2:59" ht="12.75">
      <c r="B108" s="12" t="s">
        <v>536</v>
      </c>
      <c r="C108" s="1">
        <f>E108*(VLOOKUP(D108,Race,2,FALSE)*(N108*init_bonus+O108+P108*front+Q108*Back+R108+S108*armour+SUM(T108:V108))*(Thrust_base+(I108/J108)/Thrust_div)*POWER(W108,Weapon_power))/(POWER(signature,(L108-M108)))*IF(K108="Y",gravitic,1)*IF(H108="Y",agile,1)/divisor</f>
        <v>65.20150190899118</v>
      </c>
      <c r="D108" s="1" t="s">
        <v>522</v>
      </c>
      <c r="E108" s="57">
        <v>1</v>
      </c>
      <c r="F108" s="57"/>
      <c r="G108" s="58">
        <v>0</v>
      </c>
      <c r="H108" s="52" t="s">
        <v>2</v>
      </c>
      <c r="I108" s="52">
        <v>10</v>
      </c>
      <c r="J108" s="52">
        <v>2</v>
      </c>
      <c r="K108" s="57" t="s">
        <v>21</v>
      </c>
      <c r="L108" s="57">
        <v>4</v>
      </c>
      <c r="M108" s="57">
        <v>5</v>
      </c>
      <c r="N108" s="57">
        <v>12</v>
      </c>
      <c r="O108" s="57">
        <v>65</v>
      </c>
      <c r="P108" s="57">
        <v>0</v>
      </c>
      <c r="Q108" s="57">
        <v>0</v>
      </c>
      <c r="R108" s="57">
        <v>0</v>
      </c>
      <c r="S108" s="57">
        <v>2</v>
      </c>
      <c r="T108" s="57"/>
      <c r="U108" s="57">
        <v>8</v>
      </c>
      <c r="V108" s="57"/>
      <c r="W108" s="1">
        <f>SUM(X108:BD108)*(num_weapons_base+num_weapons_mod*COUNT(X108:BD108))</f>
        <v>48.65264930710009</v>
      </c>
      <c r="X108" s="53">
        <f>VLOOKUP(X107,weapon,2,FALSE)</f>
        <v>22.553892215568865</v>
      </c>
      <c r="Y108" s="53">
        <f>VLOOKUP(Y107,weapon,2,FALSE)</f>
        <v>11.247428571428571</v>
      </c>
      <c r="Z108" s="53">
        <f>VLOOKUP(Z107,weapon,2,FALSE)</f>
        <v>11.247428571428571</v>
      </c>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43"/>
      <c r="AZ108" s="43"/>
      <c r="BA108" s="43"/>
      <c r="BB108" s="43"/>
      <c r="BC108" s="43"/>
      <c r="BD108" s="43"/>
      <c r="BE108" s="43"/>
      <c r="BF108" s="43"/>
      <c r="BG108" s="43"/>
    </row>
    <row r="109" spans="2:59" ht="12.75">
      <c r="B109" s="12"/>
      <c r="C109" s="42"/>
      <c r="D109" s="42"/>
      <c r="E109" s="57"/>
      <c r="F109" s="57"/>
      <c r="G109" s="58"/>
      <c r="H109" s="5"/>
      <c r="I109" s="5"/>
      <c r="J109" s="5"/>
      <c r="K109" s="57"/>
      <c r="L109" s="57"/>
      <c r="M109" s="57"/>
      <c r="N109" s="57"/>
      <c r="O109" s="57"/>
      <c r="P109" s="57"/>
      <c r="Q109" s="57"/>
      <c r="R109" s="57"/>
      <c r="S109" s="57"/>
      <c r="T109" s="57"/>
      <c r="U109" s="57"/>
      <c r="V109" s="57"/>
      <c r="W109" s="1"/>
      <c r="X109" s="43" t="s">
        <v>68</v>
      </c>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43"/>
      <c r="AZ109" s="43"/>
      <c r="BA109" s="43"/>
      <c r="BB109" s="43"/>
      <c r="BC109" s="43"/>
      <c r="BD109" s="43"/>
      <c r="BE109" s="43"/>
      <c r="BF109" s="43"/>
      <c r="BG109" s="43"/>
    </row>
    <row r="110" spans="2:59" ht="12.75">
      <c r="B110" s="12" t="s">
        <v>68</v>
      </c>
      <c r="C110" s="1">
        <f>E110*(VLOOKUP(D110,Race,2,FALSE)*(N110*init_bonus+O110+P110*front+Q110*Back+R110+S110*armour+SUM(T110:V110))*(Thrust_base+(I110/J110)/Thrust_div)*POWER(W110,Weapon_power))/(POWER(signature,(L110-M110)))*IF(K110="Y",gravitic,1)*IF(H110="Y",agile,1)/divisor</f>
        <v>5.970995103139425</v>
      </c>
      <c r="D110" s="1" t="s">
        <v>522</v>
      </c>
      <c r="E110" s="57">
        <v>1</v>
      </c>
      <c r="F110" s="57"/>
      <c r="G110" s="58">
        <v>0</v>
      </c>
      <c r="H110" s="52" t="s">
        <v>2</v>
      </c>
      <c r="I110" s="52">
        <v>12</v>
      </c>
      <c r="J110" s="52">
        <v>1</v>
      </c>
      <c r="K110" s="57" t="s">
        <v>21</v>
      </c>
      <c r="L110" s="57">
        <v>-5</v>
      </c>
      <c r="M110" s="57">
        <v>3</v>
      </c>
      <c r="N110" s="57">
        <v>18</v>
      </c>
      <c r="O110" s="57">
        <v>3</v>
      </c>
      <c r="P110" s="57">
        <v>0</v>
      </c>
      <c r="Q110" s="57">
        <v>0</v>
      </c>
      <c r="R110" s="57">
        <v>0</v>
      </c>
      <c r="S110" s="57">
        <v>0</v>
      </c>
      <c r="T110" s="57"/>
      <c r="U110" s="57"/>
      <c r="V110" s="57"/>
      <c r="W110" s="1">
        <f>SUM(X110:BD110)*(num_weapons_base+num_weapons_mod*COUNT(X110:BD110))</f>
        <v>4.504499999999999</v>
      </c>
      <c r="X110" s="60">
        <f>VLOOKUP(X109,weapon,2,FALSE)</f>
        <v>4.504499999999999</v>
      </c>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43"/>
      <c r="AZ110" s="43"/>
      <c r="BA110" s="43"/>
      <c r="BB110" s="43"/>
      <c r="BC110" s="43"/>
      <c r="BD110" s="43"/>
      <c r="BE110" s="43"/>
      <c r="BF110" s="43"/>
      <c r="BG110" s="43"/>
    </row>
    <row r="111" spans="2:59" ht="12.75">
      <c r="B111" s="12"/>
      <c r="C111" s="42"/>
      <c r="D111" s="42"/>
      <c r="E111" s="57"/>
      <c r="F111" s="57"/>
      <c r="G111" s="58"/>
      <c r="H111" s="5"/>
      <c r="I111" s="5"/>
      <c r="J111" s="5"/>
      <c r="K111" s="57"/>
      <c r="L111" s="57"/>
      <c r="M111" s="57"/>
      <c r="N111" s="57"/>
      <c r="O111" s="57"/>
      <c r="P111" s="57"/>
      <c r="Q111" s="57"/>
      <c r="R111" s="57"/>
      <c r="S111" s="57"/>
      <c r="T111" s="57"/>
      <c r="U111" s="57"/>
      <c r="V111" s="57"/>
      <c r="W111" s="1"/>
      <c r="X111" s="43" t="s">
        <v>67</v>
      </c>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43"/>
      <c r="AZ111" s="43"/>
      <c r="BA111" s="43"/>
      <c r="BB111" s="43"/>
      <c r="BC111" s="43"/>
      <c r="BD111" s="43"/>
      <c r="BE111" s="43"/>
      <c r="BF111" s="43"/>
      <c r="BG111" s="43"/>
    </row>
    <row r="112" spans="2:59" ht="12.75">
      <c r="B112" s="12" t="s">
        <v>67</v>
      </c>
      <c r="C112" s="1">
        <f>E112*(VLOOKUP(D112,Race,2,FALSE)*(N112*init_bonus+O112+P112*front+Q112*Back+R112+S112*armour+SUM(T112:V112))*(Thrust_base+(I112/J112)/Thrust_div)*POWER(W112,Weapon_power))/(POWER(signature,(L112-M112)))*IF(K112="Y",gravitic,1)*IF(H112="Y",agile,1)/divisor</f>
        <v>6.064697772982799</v>
      </c>
      <c r="D112" s="1" t="s">
        <v>522</v>
      </c>
      <c r="E112" s="57">
        <v>1</v>
      </c>
      <c r="F112" s="57"/>
      <c r="G112" s="58">
        <v>0</v>
      </c>
      <c r="H112" s="52" t="s">
        <v>2</v>
      </c>
      <c r="I112" s="52">
        <v>14</v>
      </c>
      <c r="J112" s="52">
        <v>1</v>
      </c>
      <c r="K112" s="57" t="s">
        <v>21</v>
      </c>
      <c r="L112" s="57">
        <v>-8</v>
      </c>
      <c r="M112" s="57">
        <v>3</v>
      </c>
      <c r="N112" s="57">
        <v>20</v>
      </c>
      <c r="O112" s="57">
        <v>3</v>
      </c>
      <c r="P112" s="57">
        <v>0</v>
      </c>
      <c r="Q112" s="57">
        <v>0</v>
      </c>
      <c r="R112" s="57">
        <v>0</v>
      </c>
      <c r="S112" s="57">
        <v>0</v>
      </c>
      <c r="T112" s="57"/>
      <c r="U112" s="57"/>
      <c r="V112" s="57"/>
      <c r="W112" s="1">
        <f>SUM(X112:BD112)*(num_weapons_base+num_weapons_mod*COUNT(X112:BD112))</f>
        <v>3.2175</v>
      </c>
      <c r="X112" s="60">
        <f>VLOOKUP(X111,weapon,2,FALSE)</f>
        <v>3.2175</v>
      </c>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43"/>
      <c r="AZ112" s="43"/>
      <c r="BA112" s="43"/>
      <c r="BB112" s="43"/>
      <c r="BC112" s="43"/>
      <c r="BD112" s="43"/>
      <c r="BE112" s="43"/>
      <c r="BF112" s="43"/>
      <c r="BG112" s="43"/>
    </row>
    <row r="113" spans="2:59" ht="12.75">
      <c r="B113" s="12"/>
      <c r="C113" s="42"/>
      <c r="D113" s="42"/>
      <c r="E113" s="57"/>
      <c r="F113" s="57"/>
      <c r="G113" s="58"/>
      <c r="H113" s="5"/>
      <c r="I113" s="5"/>
      <c r="J113" s="5"/>
      <c r="K113" s="57"/>
      <c r="L113" s="57"/>
      <c r="M113" s="57"/>
      <c r="N113" s="57"/>
      <c r="O113" s="57"/>
      <c r="P113" s="57"/>
      <c r="Q113" s="57"/>
      <c r="R113" s="57"/>
      <c r="S113" s="57"/>
      <c r="T113" s="57"/>
      <c r="U113" s="57"/>
      <c r="V113" s="57"/>
      <c r="W113" s="1"/>
      <c r="X113" s="43" t="s">
        <v>75</v>
      </c>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43"/>
      <c r="AZ113" s="43"/>
      <c r="BA113" s="43"/>
      <c r="BB113" s="43"/>
      <c r="BC113" s="43"/>
      <c r="BD113" s="43"/>
      <c r="BE113" s="43"/>
      <c r="BF113" s="43"/>
      <c r="BG113" s="43"/>
    </row>
    <row r="114" spans="2:59" ht="12.75">
      <c r="B114" s="12" t="s">
        <v>75</v>
      </c>
      <c r="C114" s="1">
        <f>E114*(VLOOKUP(D114,Race,2,FALSE)*(N114*init_bonus+O114+P114*front+Q114*Back+R114+S114*armour+SUM(T114:V114))*(Thrust_base+(I114/J114)/Thrust_div)*POWER(W114,Weapon_power))/(POWER(signature,(L114-M114)))*IF(K114="Y",gravitic,1)*IF(H114="Y",agile,1)/divisor</f>
        <v>8.39391342876986</v>
      </c>
      <c r="D114" s="1" t="s">
        <v>522</v>
      </c>
      <c r="E114" s="57">
        <v>1</v>
      </c>
      <c r="F114" s="57"/>
      <c r="G114" s="58">
        <v>0</v>
      </c>
      <c r="H114" s="52" t="s">
        <v>2</v>
      </c>
      <c r="I114" s="52">
        <v>10</v>
      </c>
      <c r="J114" s="52">
        <v>1</v>
      </c>
      <c r="K114" s="57" t="s">
        <v>21</v>
      </c>
      <c r="L114" s="57">
        <v>-7</v>
      </c>
      <c r="M114" s="57">
        <v>4</v>
      </c>
      <c r="N114" s="57">
        <v>20</v>
      </c>
      <c r="O114" s="57">
        <v>3</v>
      </c>
      <c r="P114" s="57">
        <v>0</v>
      </c>
      <c r="Q114" s="57">
        <v>0</v>
      </c>
      <c r="R114" s="57">
        <v>0</v>
      </c>
      <c r="S114" s="57">
        <v>0</v>
      </c>
      <c r="T114" s="57"/>
      <c r="U114" s="57"/>
      <c r="V114" s="57"/>
      <c r="W114" s="1">
        <f>SUM(X114:BD114)*(num_weapons_base+num_weapons_mod*COUNT(X114:BD114))</f>
        <v>4.979464285714287</v>
      </c>
      <c r="X114" s="60">
        <f>VLOOKUP(X113,weapon,2,FALSE)</f>
        <v>4.979464285714287</v>
      </c>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43"/>
      <c r="AZ114" s="43"/>
      <c r="BA114" s="43"/>
      <c r="BB114" s="43"/>
      <c r="BC114" s="43"/>
      <c r="BD114" s="43"/>
      <c r="BE114" s="43"/>
      <c r="BF114" s="43"/>
      <c r="BG114" s="43"/>
    </row>
    <row r="115" spans="1:59" s="191" customFormat="1" ht="12.75">
      <c r="A115" s="199" t="s">
        <v>537</v>
      </c>
      <c r="B115" s="197"/>
      <c r="C115" s="42"/>
      <c r="D115" s="192"/>
      <c r="E115" s="193"/>
      <c r="F115" s="193"/>
      <c r="G115" s="194"/>
      <c r="H115" s="198"/>
      <c r="I115" s="198"/>
      <c r="J115" s="198"/>
      <c r="K115" s="193"/>
      <c r="L115" s="193"/>
      <c r="M115" s="193"/>
      <c r="N115" s="193"/>
      <c r="O115" s="193"/>
      <c r="P115" s="193"/>
      <c r="Q115" s="193"/>
      <c r="R115" s="193"/>
      <c r="S115" s="193"/>
      <c r="T115" s="193"/>
      <c r="U115" s="193"/>
      <c r="V115" s="193"/>
      <c r="W115" s="190"/>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6"/>
      <c r="AZ115" s="196"/>
      <c r="BA115" s="196"/>
      <c r="BB115" s="196"/>
      <c r="BC115" s="196"/>
      <c r="BD115" s="196"/>
      <c r="BE115" s="196"/>
      <c r="BF115" s="196"/>
      <c r="BG115" s="196"/>
    </row>
    <row r="116" spans="3:59" s="191" customFormat="1" ht="12.75">
      <c r="C116" s="1" t="e">
        <f>E116*(VLOOKUP(D116,Race,2,FALSE)*(N116*init_bonus+O116+P116*front+Q116*Back+R116+S116*armour+SUM(T116:V116))*(Thrust_base+(I116/J116)/Thrust_div)*POWER(W116,Weapon_power))/(POWER(signature,(L116-M116)))*IF(K116="Y",gravitic,1)*IF(H116="Y",agile,1)/divisor</f>
        <v>#N/A</v>
      </c>
      <c r="D116" s="198"/>
      <c r="E116" s="196"/>
      <c r="F116" s="196"/>
      <c r="G116" s="200"/>
      <c r="H116" s="195"/>
      <c r="I116" s="195"/>
      <c r="J116" s="195"/>
      <c r="K116" s="196"/>
      <c r="L116" s="196"/>
      <c r="M116" s="196"/>
      <c r="N116" s="196"/>
      <c r="O116" s="196"/>
      <c r="P116" s="196"/>
      <c r="Q116" s="196"/>
      <c r="R116" s="196"/>
      <c r="S116" s="196"/>
      <c r="T116" s="196"/>
      <c r="U116" s="196" t="s">
        <v>961</v>
      </c>
      <c r="V116" s="196"/>
      <c r="W116" s="190">
        <f>SUM(X116:BD116)*(num_weapons_base+num_weapons_mod*COUNT(X116:BD116))</f>
        <v>0</v>
      </c>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row>
    <row r="117" spans="1:59" s="191" customFormat="1" ht="12.75">
      <c r="A117" s="141"/>
      <c r="B117" s="135"/>
      <c r="C117" s="42"/>
      <c r="D117" s="214"/>
      <c r="E117" s="136"/>
      <c r="F117" s="136"/>
      <c r="G117" s="215"/>
      <c r="H117" s="214"/>
      <c r="I117" s="214"/>
      <c r="J117" s="214"/>
      <c r="K117" s="136"/>
      <c r="L117" s="136"/>
      <c r="M117" s="136"/>
      <c r="N117" s="136"/>
      <c r="O117" s="136"/>
      <c r="P117" s="136"/>
      <c r="Q117" s="136"/>
      <c r="R117" s="136"/>
      <c r="S117" s="136"/>
      <c r="T117" s="136"/>
      <c r="U117" s="136" t="s">
        <v>460</v>
      </c>
      <c r="V117" s="136"/>
      <c r="W117" s="216"/>
      <c r="X117" s="43" t="s">
        <v>311</v>
      </c>
      <c r="Y117" s="43" t="s">
        <v>422</v>
      </c>
      <c r="Z117" s="43" t="s">
        <v>422</v>
      </c>
      <c r="AA117" s="43" t="s">
        <v>422</v>
      </c>
      <c r="AB117" s="43" t="s">
        <v>422</v>
      </c>
      <c r="AC117" s="43" t="s">
        <v>422</v>
      </c>
      <c r="AD117" s="43" t="s">
        <v>422</v>
      </c>
      <c r="AE117" s="43" t="s">
        <v>286</v>
      </c>
      <c r="AF117" s="43" t="s">
        <v>286</v>
      </c>
      <c r="AG117" s="43" t="s">
        <v>286</v>
      </c>
      <c r="AH117" s="43" t="s">
        <v>286</v>
      </c>
      <c r="AI117" s="43" t="s">
        <v>159</v>
      </c>
      <c r="AJ117" s="43" t="s">
        <v>159</v>
      </c>
      <c r="AK117" s="43" t="s">
        <v>143</v>
      </c>
      <c r="AL117" s="43" t="s">
        <v>143</v>
      </c>
      <c r="AM117" s="43" t="s">
        <v>296</v>
      </c>
      <c r="AN117" s="43" t="s">
        <v>296</v>
      </c>
      <c r="AO117" s="43" t="s">
        <v>296</v>
      </c>
      <c r="AP117" s="43" t="s">
        <v>296</v>
      </c>
      <c r="AQ117" s="43" t="s">
        <v>296</v>
      </c>
      <c r="AR117" s="43" t="s">
        <v>296</v>
      </c>
      <c r="AS117" s="43" t="s">
        <v>306</v>
      </c>
      <c r="AT117" s="43" t="s">
        <v>306</v>
      </c>
      <c r="AU117" s="43" t="s">
        <v>306</v>
      </c>
      <c r="AV117" s="43" t="s">
        <v>306</v>
      </c>
      <c r="AW117" s="43" t="s">
        <v>306</v>
      </c>
      <c r="AX117" s="43" t="s">
        <v>306</v>
      </c>
      <c r="AY117" s="43"/>
      <c r="AZ117" s="43"/>
      <c r="BA117" s="43"/>
      <c r="BB117" s="43"/>
      <c r="BC117" s="43"/>
      <c r="BD117" s="43"/>
      <c r="BE117" s="43"/>
      <c r="BF117" s="43"/>
      <c r="BG117" s="43"/>
    </row>
    <row r="118" spans="2:59" ht="12.75">
      <c r="B118" s="64" t="s">
        <v>672</v>
      </c>
      <c r="C118" s="1">
        <f>E118*(VLOOKUP(D118,Race,2,FALSE)*(N118*init_bonus+O118+P118*front+Q118*Back+R118+S118*armour+SUM(T118:V118))*(Thrust_base+(I118/J118)/Thrust_div)*POWER(W118,Weapon_power))/(POWER(signature,(L118-M118)))*IF(K118="Y",gravitic,1)*IF(H118="Y",agile,1)/divisor</f>
        <v>1152.9532083493693</v>
      </c>
      <c r="D118" s="1" t="s">
        <v>537</v>
      </c>
      <c r="E118" s="57">
        <v>1</v>
      </c>
      <c r="F118" s="57">
        <v>18</v>
      </c>
      <c r="G118" s="58">
        <f>F118*C$152</f>
        <v>65.59878299844387</v>
      </c>
      <c r="H118" s="52" t="s">
        <v>21</v>
      </c>
      <c r="I118" s="52">
        <v>12</v>
      </c>
      <c r="J118" s="52">
        <v>4</v>
      </c>
      <c r="K118" s="57" t="s">
        <v>21</v>
      </c>
      <c r="L118" s="57">
        <v>15</v>
      </c>
      <c r="M118" s="57">
        <v>10</v>
      </c>
      <c r="N118" s="57">
        <v>0</v>
      </c>
      <c r="O118" s="57">
        <v>72</v>
      </c>
      <c r="P118" s="57">
        <v>108</v>
      </c>
      <c r="Q118" s="57">
        <v>87</v>
      </c>
      <c r="R118" s="57">
        <v>96</v>
      </c>
      <c r="S118" s="57">
        <v>5.25</v>
      </c>
      <c r="T118" s="57"/>
      <c r="U118" s="57"/>
      <c r="V118" s="57"/>
      <c r="W118" s="1">
        <f>SUM(X118:BD118)*(num_weapons_base+num_weapons_mod*COUNT(X118:BD118))</f>
        <v>623.650365885372</v>
      </c>
      <c r="X118" s="53">
        <f aca="true" t="shared" si="38" ref="X118:AR118">VLOOKUP(X117,weapon,2,FALSE)</f>
        <v>45.25868263473054</v>
      </c>
      <c r="Y118" s="53">
        <f t="shared" si="38"/>
        <v>28.274400000000004</v>
      </c>
      <c r="Z118" s="53">
        <f t="shared" si="38"/>
        <v>28.274400000000004</v>
      </c>
      <c r="AA118" s="53">
        <f t="shared" si="38"/>
        <v>28.274400000000004</v>
      </c>
      <c r="AB118" s="53">
        <f t="shared" si="38"/>
        <v>28.274400000000004</v>
      </c>
      <c r="AC118" s="53">
        <f t="shared" si="38"/>
        <v>28.274400000000004</v>
      </c>
      <c r="AD118" s="53">
        <f t="shared" si="38"/>
        <v>28.274400000000004</v>
      </c>
      <c r="AE118" s="53">
        <f t="shared" si="38"/>
        <v>7.17255</v>
      </c>
      <c r="AF118" s="53">
        <f t="shared" si="38"/>
        <v>7.17255</v>
      </c>
      <c r="AG118" s="53">
        <f t="shared" si="38"/>
        <v>7.17255</v>
      </c>
      <c r="AH118" s="53">
        <f t="shared" si="38"/>
        <v>7.17255</v>
      </c>
      <c r="AI118" s="53">
        <f t="shared" si="38"/>
        <v>10.74857142857143</v>
      </c>
      <c r="AJ118" s="53">
        <f t="shared" si="38"/>
        <v>10.74857142857143</v>
      </c>
      <c r="AK118" s="53">
        <f t="shared" si="38"/>
        <v>12.571428571428573</v>
      </c>
      <c r="AL118" s="53">
        <f t="shared" si="38"/>
        <v>12.571428571428573</v>
      </c>
      <c r="AM118" s="53">
        <f t="shared" si="38"/>
        <v>9.372857142857145</v>
      </c>
      <c r="AN118" s="53">
        <f t="shared" si="38"/>
        <v>9.372857142857145</v>
      </c>
      <c r="AO118" s="53">
        <f t="shared" si="38"/>
        <v>9.372857142857145</v>
      </c>
      <c r="AP118" s="53">
        <f t="shared" si="38"/>
        <v>9.372857142857145</v>
      </c>
      <c r="AQ118" s="53">
        <f t="shared" si="38"/>
        <v>9.372857142857145</v>
      </c>
      <c r="AR118" s="53">
        <f t="shared" si="38"/>
        <v>9.372857142857145</v>
      </c>
      <c r="AS118" s="53"/>
      <c r="AT118" s="53"/>
      <c r="AU118" s="53"/>
      <c r="AV118" s="53"/>
      <c r="AW118" s="53"/>
      <c r="AX118" s="53"/>
      <c r="AY118" s="43"/>
      <c r="AZ118" s="43"/>
      <c r="BA118" s="43"/>
      <c r="BB118" s="43"/>
      <c r="BC118" s="43"/>
      <c r="BD118" s="43"/>
      <c r="BE118" s="43"/>
      <c r="BF118" s="43"/>
      <c r="BG118" s="43"/>
    </row>
    <row r="119" spans="2:59" ht="12.75">
      <c r="B119" s="12"/>
      <c r="C119" s="42"/>
      <c r="D119" s="42"/>
      <c r="E119" s="57"/>
      <c r="F119" s="57"/>
      <c r="G119" s="58"/>
      <c r="H119" s="5"/>
      <c r="I119" s="5"/>
      <c r="J119" s="5"/>
      <c r="K119" s="57"/>
      <c r="L119" s="57"/>
      <c r="M119" s="57"/>
      <c r="N119" s="57"/>
      <c r="O119" s="57"/>
      <c r="P119" s="57"/>
      <c r="Q119" s="57"/>
      <c r="R119" s="57"/>
      <c r="S119" s="57"/>
      <c r="T119" s="57"/>
      <c r="U119" s="57"/>
      <c r="V119" s="57"/>
      <c r="W119" s="1"/>
      <c r="X119" s="43" t="s">
        <v>159</v>
      </c>
      <c r="Y119" s="43" t="s">
        <v>159</v>
      </c>
      <c r="Z119" s="43" t="s">
        <v>159</v>
      </c>
      <c r="AA119" s="43" t="s">
        <v>159</v>
      </c>
      <c r="AB119" s="43" t="s">
        <v>159</v>
      </c>
      <c r="AC119" s="43" t="s">
        <v>159</v>
      </c>
      <c r="AD119" s="43" t="s">
        <v>143</v>
      </c>
      <c r="AE119" s="43" t="s">
        <v>143</v>
      </c>
      <c r="AF119" s="43" t="s">
        <v>143</v>
      </c>
      <c r="AG119" s="43" t="s">
        <v>143</v>
      </c>
      <c r="AH119" s="43" t="s">
        <v>143</v>
      </c>
      <c r="AI119" s="43" t="s">
        <v>143</v>
      </c>
      <c r="AJ119" s="43"/>
      <c r="AK119" s="43" t="s">
        <v>306</v>
      </c>
      <c r="AL119" s="43" t="s">
        <v>306</v>
      </c>
      <c r="AM119" s="43" t="s">
        <v>306</v>
      </c>
      <c r="AN119" s="43" t="s">
        <v>306</v>
      </c>
      <c r="AO119" s="43" t="s">
        <v>306</v>
      </c>
      <c r="AP119" s="43" t="s">
        <v>306</v>
      </c>
      <c r="AQ119" s="43" t="s">
        <v>306</v>
      </c>
      <c r="AR119" s="43" t="s">
        <v>306</v>
      </c>
      <c r="AS119" s="43"/>
      <c r="AT119" s="43"/>
      <c r="AU119" s="43"/>
      <c r="AV119" s="43"/>
      <c r="AW119" s="43"/>
      <c r="AX119" s="43"/>
      <c r="AY119" s="43"/>
      <c r="AZ119" s="43"/>
      <c r="BA119" s="43"/>
      <c r="BB119" s="43"/>
      <c r="BC119" s="43"/>
      <c r="BD119" s="43"/>
      <c r="BE119" s="43"/>
      <c r="BF119" s="43"/>
      <c r="BG119" s="43"/>
    </row>
    <row r="120" spans="2:59" ht="12.75">
      <c r="B120" s="64" t="s">
        <v>673</v>
      </c>
      <c r="C120" s="1">
        <f>E120*(VLOOKUP(D120,Race,2,FALSE)*(N120*init_bonus+O120+P120*front+Q120*Back+R120+S120*armour+SUM(T120:V120))*(Thrust_base+(I120/J120)/Thrust_div)*POWER(W120,Weapon_power))/(POWER(signature,(L120-M120)))*IF(K120="Y",gravitic,1)*IF(H120="Y",agile,1)/divisor</f>
        <v>164.40131510283473</v>
      </c>
      <c r="D120" s="1" t="s">
        <v>537</v>
      </c>
      <c r="E120" s="57">
        <v>1</v>
      </c>
      <c r="F120" s="57">
        <v>0</v>
      </c>
      <c r="G120" s="58">
        <f>F120*C$152</f>
        <v>0</v>
      </c>
      <c r="H120" s="52" t="s">
        <v>21</v>
      </c>
      <c r="I120" s="52">
        <v>10</v>
      </c>
      <c r="J120" s="52">
        <v>3</v>
      </c>
      <c r="K120" s="57" t="s">
        <v>21</v>
      </c>
      <c r="L120" s="57">
        <v>6</v>
      </c>
      <c r="M120" s="57">
        <v>5</v>
      </c>
      <c r="N120" s="57">
        <v>12</v>
      </c>
      <c r="O120" s="57">
        <v>55</v>
      </c>
      <c r="P120" s="57">
        <v>0</v>
      </c>
      <c r="Q120" s="57">
        <v>0</v>
      </c>
      <c r="R120" s="57">
        <v>0</v>
      </c>
      <c r="S120" s="57">
        <v>1</v>
      </c>
      <c r="T120" s="57"/>
      <c r="U120" s="57"/>
      <c r="V120" s="57"/>
      <c r="W120" s="1">
        <f>SUM(X120:BD120)*(num_weapons_base+num_weapons_mod*COUNT(X120:BD120))</f>
        <v>201.4848</v>
      </c>
      <c r="X120" s="53">
        <f aca="true" t="shared" si="39" ref="X120:AI120">VLOOKUP(X119,weapon,2,FALSE)</f>
        <v>10.74857142857143</v>
      </c>
      <c r="Y120" s="53">
        <f t="shared" si="39"/>
        <v>10.74857142857143</v>
      </c>
      <c r="Z120" s="53">
        <f t="shared" si="39"/>
        <v>10.74857142857143</v>
      </c>
      <c r="AA120" s="53">
        <f t="shared" si="39"/>
        <v>10.74857142857143</v>
      </c>
      <c r="AB120" s="53">
        <f t="shared" si="39"/>
        <v>10.74857142857143</v>
      </c>
      <c r="AC120" s="53">
        <f t="shared" si="39"/>
        <v>10.74857142857143</v>
      </c>
      <c r="AD120" s="53">
        <f t="shared" si="39"/>
        <v>12.571428571428573</v>
      </c>
      <c r="AE120" s="53">
        <f t="shared" si="39"/>
        <v>12.571428571428573</v>
      </c>
      <c r="AF120" s="53">
        <f t="shared" si="39"/>
        <v>12.571428571428573</v>
      </c>
      <c r="AG120" s="53">
        <f t="shared" si="39"/>
        <v>12.571428571428573</v>
      </c>
      <c r="AH120" s="53">
        <f t="shared" si="39"/>
        <v>12.571428571428573</v>
      </c>
      <c r="AI120" s="53">
        <f t="shared" si="39"/>
        <v>12.571428571428573</v>
      </c>
      <c r="AJ120" s="53"/>
      <c r="AK120" s="53"/>
      <c r="AL120" s="53"/>
      <c r="AM120" s="53"/>
      <c r="AN120" s="53"/>
      <c r="AO120" s="53"/>
      <c r="AP120" s="53"/>
      <c r="AQ120" s="53"/>
      <c r="AR120" s="53"/>
      <c r="AS120" s="53"/>
      <c r="AT120" s="53"/>
      <c r="AU120" s="53"/>
      <c r="AV120" s="53"/>
      <c r="AW120" s="53"/>
      <c r="AX120" s="53"/>
      <c r="AY120" s="43"/>
      <c r="AZ120" s="43"/>
      <c r="BA120" s="43"/>
      <c r="BB120" s="43"/>
      <c r="BC120" s="43"/>
      <c r="BD120" s="43"/>
      <c r="BE120" s="43"/>
      <c r="BF120" s="43"/>
      <c r="BG120" s="43"/>
    </row>
    <row r="121" spans="2:59" ht="12.75">
      <c r="B121" s="12"/>
      <c r="C121" s="42"/>
      <c r="D121" s="42"/>
      <c r="E121" s="57"/>
      <c r="F121" s="57"/>
      <c r="G121" s="58"/>
      <c r="H121" s="5"/>
      <c r="I121" s="5"/>
      <c r="J121" s="5"/>
      <c r="K121" s="57"/>
      <c r="L121" s="57"/>
      <c r="M121" s="57"/>
      <c r="N121" s="57"/>
      <c r="O121" s="57"/>
      <c r="P121" s="57"/>
      <c r="Q121" s="57"/>
      <c r="R121" s="57"/>
      <c r="S121" s="57"/>
      <c r="T121" s="57"/>
      <c r="U121" s="57"/>
      <c r="V121" s="57"/>
      <c r="W121" s="1"/>
      <c r="X121" s="43" t="s">
        <v>156</v>
      </c>
      <c r="Y121" s="43" t="s">
        <v>156</v>
      </c>
      <c r="Z121" s="43" t="s">
        <v>343</v>
      </c>
      <c r="AA121" s="43" t="s">
        <v>343</v>
      </c>
      <c r="AB121" s="43" t="s">
        <v>343</v>
      </c>
      <c r="AC121" s="43" t="s">
        <v>343</v>
      </c>
      <c r="AD121" s="43" t="s">
        <v>286</v>
      </c>
      <c r="AE121" s="43" t="s">
        <v>286</v>
      </c>
      <c r="AF121" s="43" t="s">
        <v>286</v>
      </c>
      <c r="AG121" s="43" t="s">
        <v>286</v>
      </c>
      <c r="AH121" s="43" t="s">
        <v>306</v>
      </c>
      <c r="AI121" s="43" t="s">
        <v>306</v>
      </c>
      <c r="AJ121" s="43" t="s">
        <v>306</v>
      </c>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row>
    <row r="122" spans="2:59" ht="12.75">
      <c r="B122" s="64" t="s">
        <v>674</v>
      </c>
      <c r="C122" s="1">
        <f>E122*(VLOOKUP(D122,Race,2,FALSE)*(N122*init_bonus+O122+P122*front+Q122*Back+R122+S122*armour+SUM(T122:V122))*(Thrust_base+(I122/J122)/Thrust_div)*POWER(W122,Weapon_power))/(POWER(signature,(L122-M122)))*IF(K122="Y",gravitic,1)*IF(H122="Y",agile,1)/divisor</f>
        <v>496.1693338771552</v>
      </c>
      <c r="D122" s="1" t="s">
        <v>537</v>
      </c>
      <c r="E122" s="57">
        <v>1</v>
      </c>
      <c r="F122" s="57">
        <v>6</v>
      </c>
      <c r="G122" s="58">
        <f>F122*C$152</f>
        <v>21.866260999481288</v>
      </c>
      <c r="H122" s="52" t="s">
        <v>21</v>
      </c>
      <c r="I122" s="52">
        <v>12</v>
      </c>
      <c r="J122" s="52">
        <v>3</v>
      </c>
      <c r="K122" s="57" t="s">
        <v>21</v>
      </c>
      <c r="L122" s="57">
        <v>11</v>
      </c>
      <c r="M122" s="57">
        <v>9</v>
      </c>
      <c r="N122" s="57">
        <v>1</v>
      </c>
      <c r="O122" s="57">
        <v>50</v>
      </c>
      <c r="P122" s="57">
        <v>54</v>
      </c>
      <c r="Q122" s="57">
        <v>50</v>
      </c>
      <c r="R122" s="57">
        <v>55</v>
      </c>
      <c r="S122" s="57">
        <v>4.25</v>
      </c>
      <c r="T122" s="57"/>
      <c r="U122" s="57"/>
      <c r="V122" s="57"/>
      <c r="W122" s="1">
        <f>SUM(X122:BD122)*(num_weapons_base+num_weapons_mod*COUNT(X122:BD122))</f>
        <v>339.9672434285714</v>
      </c>
      <c r="X122" s="53">
        <f aca="true" t="shared" si="40" ref="X122:AG122">VLOOKUP(X121,weapon,2,FALSE)</f>
        <v>30.799999999999997</v>
      </c>
      <c r="Y122" s="53">
        <f t="shared" si="40"/>
        <v>30.799999999999997</v>
      </c>
      <c r="Z122" s="53">
        <f t="shared" si="40"/>
        <v>39.921428571428564</v>
      </c>
      <c r="AA122" s="53">
        <f t="shared" si="40"/>
        <v>39.921428571428564</v>
      </c>
      <c r="AB122" s="53">
        <f t="shared" si="40"/>
        <v>39.921428571428564</v>
      </c>
      <c r="AC122" s="53">
        <f t="shared" si="40"/>
        <v>39.921428571428564</v>
      </c>
      <c r="AD122" s="53">
        <f t="shared" si="40"/>
        <v>7.17255</v>
      </c>
      <c r="AE122" s="53">
        <f t="shared" si="40"/>
        <v>7.17255</v>
      </c>
      <c r="AF122" s="53">
        <f t="shared" si="40"/>
        <v>7.17255</v>
      </c>
      <c r="AG122" s="53">
        <f t="shared" si="40"/>
        <v>7.17255</v>
      </c>
      <c r="AH122" s="53"/>
      <c r="AI122" s="53"/>
      <c r="AJ122" s="53"/>
      <c r="AK122" s="53"/>
      <c r="AL122" s="53"/>
      <c r="AM122" s="53"/>
      <c r="AN122" s="53"/>
      <c r="AO122" s="53"/>
      <c r="AP122" s="53"/>
      <c r="AQ122" s="53"/>
      <c r="AR122" s="53"/>
      <c r="AS122" s="53"/>
      <c r="AT122" s="53"/>
      <c r="AU122" s="53"/>
      <c r="AV122" s="53"/>
      <c r="AW122" s="53"/>
      <c r="AX122" s="53"/>
      <c r="AY122" s="43"/>
      <c r="AZ122" s="43"/>
      <c r="BA122" s="43"/>
      <c r="BB122" s="43"/>
      <c r="BC122" s="43"/>
      <c r="BD122" s="43"/>
      <c r="BE122" s="43"/>
      <c r="BF122" s="43"/>
      <c r="BG122" s="43"/>
    </row>
    <row r="123" spans="2:59" ht="12.75">
      <c r="B123" s="12"/>
      <c r="C123" s="42"/>
      <c r="D123" s="42"/>
      <c r="E123" s="57"/>
      <c r="F123" s="57"/>
      <c r="G123" s="58"/>
      <c r="H123" s="5"/>
      <c r="I123" s="5"/>
      <c r="J123" s="5"/>
      <c r="K123" s="57"/>
      <c r="L123" s="57"/>
      <c r="M123" s="57"/>
      <c r="N123" s="57"/>
      <c r="O123" s="57"/>
      <c r="P123" s="57"/>
      <c r="Q123" s="57"/>
      <c r="R123" s="57"/>
      <c r="S123" s="57"/>
      <c r="T123" s="57"/>
      <c r="U123" s="57"/>
      <c r="V123" s="57"/>
      <c r="W123" s="1"/>
      <c r="X123" s="43" t="s">
        <v>422</v>
      </c>
      <c r="Y123" s="43" t="s">
        <v>422</v>
      </c>
      <c r="Z123" s="43" t="s">
        <v>286</v>
      </c>
      <c r="AA123" s="43" t="s">
        <v>286</v>
      </c>
      <c r="AB123" s="43" t="s">
        <v>286</v>
      </c>
      <c r="AC123" s="43" t="s">
        <v>286</v>
      </c>
      <c r="AD123" s="43" t="s">
        <v>292</v>
      </c>
      <c r="AE123" s="43" t="s">
        <v>292</v>
      </c>
      <c r="AF123" s="43" t="s">
        <v>292</v>
      </c>
      <c r="AG123" s="43" t="s">
        <v>292</v>
      </c>
      <c r="AH123" s="43" t="s">
        <v>159</v>
      </c>
      <c r="AI123" s="43" t="s">
        <v>159</v>
      </c>
      <c r="AJ123" s="43" t="s">
        <v>306</v>
      </c>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row>
    <row r="124" spans="2:59" ht="12.75">
      <c r="B124" s="64" t="s">
        <v>675</v>
      </c>
      <c r="C124" s="1">
        <f>E124*(VLOOKUP(D124,Race,2,FALSE)*(N124*init_bonus+O124+P124*front+Q124*Back+R124+S124*armour+SUM(T124:V124))*(Thrust_base+(I124/J124)/Thrust_div)*POWER(W124,Weapon_power))/(POWER(signature,(L124-M124)))*IF(K124="Y",gravitic,1)*IF(H124="Y",agile,1)/divisor</f>
        <v>314.7898487740487</v>
      </c>
      <c r="D124" s="1" t="s">
        <v>537</v>
      </c>
      <c r="E124" s="57">
        <v>1</v>
      </c>
      <c r="F124" s="57">
        <v>12</v>
      </c>
      <c r="G124" s="58">
        <f>F124*C$152</f>
        <v>43.732521998962575</v>
      </c>
      <c r="H124" s="52" t="s">
        <v>21</v>
      </c>
      <c r="I124" s="52">
        <v>12</v>
      </c>
      <c r="J124" s="52">
        <v>3</v>
      </c>
      <c r="K124" s="57" t="s">
        <v>21</v>
      </c>
      <c r="L124" s="57">
        <v>11</v>
      </c>
      <c r="M124" s="57">
        <v>8</v>
      </c>
      <c r="N124" s="57">
        <v>0</v>
      </c>
      <c r="O124" s="57">
        <v>50</v>
      </c>
      <c r="P124" s="57">
        <v>70</v>
      </c>
      <c r="Q124" s="57">
        <v>50</v>
      </c>
      <c r="R124" s="57">
        <v>70</v>
      </c>
      <c r="S124" s="57">
        <v>4.25</v>
      </c>
      <c r="T124" s="57"/>
      <c r="U124" s="57"/>
      <c r="V124" s="57"/>
      <c r="W124" s="1">
        <f>SUM(X124:BD124)*(num_weapons_base+num_weapons_mod*COUNT(X124:BD124))</f>
        <v>213.08646857142864</v>
      </c>
      <c r="X124" s="53">
        <f aca="true" t="shared" si="41" ref="X124:AI124">VLOOKUP(X123,weapon,2,FALSE)</f>
        <v>28.274400000000004</v>
      </c>
      <c r="Y124" s="53">
        <f t="shared" si="41"/>
        <v>28.274400000000004</v>
      </c>
      <c r="Z124" s="53">
        <f t="shared" si="41"/>
        <v>7.17255</v>
      </c>
      <c r="AA124" s="53">
        <f t="shared" si="41"/>
        <v>7.17255</v>
      </c>
      <c r="AB124" s="53">
        <f t="shared" si="41"/>
        <v>7.17255</v>
      </c>
      <c r="AC124" s="53">
        <f t="shared" si="41"/>
        <v>7.17255</v>
      </c>
      <c r="AD124" s="53">
        <f t="shared" si="41"/>
        <v>10.310142857142857</v>
      </c>
      <c r="AE124" s="53">
        <f t="shared" si="41"/>
        <v>10.310142857142857</v>
      </c>
      <c r="AF124" s="53">
        <f t="shared" si="41"/>
        <v>10.310142857142857</v>
      </c>
      <c r="AG124" s="53">
        <f t="shared" si="41"/>
        <v>10.310142857142857</v>
      </c>
      <c r="AH124" s="53">
        <f t="shared" si="41"/>
        <v>10.74857142857143</v>
      </c>
      <c r="AI124" s="53">
        <f t="shared" si="41"/>
        <v>10.74857142857143</v>
      </c>
      <c r="AJ124" s="53"/>
      <c r="AK124" s="53"/>
      <c r="AL124" s="53"/>
      <c r="AM124" s="53"/>
      <c r="AN124" s="53"/>
      <c r="AO124" s="53"/>
      <c r="AP124" s="53"/>
      <c r="AQ124" s="53"/>
      <c r="AR124" s="53"/>
      <c r="AS124" s="53"/>
      <c r="AT124" s="53"/>
      <c r="AU124" s="53"/>
      <c r="AV124" s="53"/>
      <c r="AW124" s="53"/>
      <c r="AX124" s="53"/>
      <c r="AY124" s="43"/>
      <c r="AZ124" s="43"/>
      <c r="BA124" s="43"/>
      <c r="BB124" s="43"/>
      <c r="BC124" s="43"/>
      <c r="BD124" s="43"/>
      <c r="BE124" s="43"/>
      <c r="BF124" s="43"/>
      <c r="BG124" s="43"/>
    </row>
    <row r="125" spans="1:59" ht="12.75">
      <c r="A125" s="64"/>
      <c r="B125" s="12"/>
      <c r="C125" s="42"/>
      <c r="D125" s="42"/>
      <c r="E125" s="57"/>
      <c r="F125" s="57"/>
      <c r="G125" s="58"/>
      <c r="H125" s="5"/>
      <c r="I125" s="5"/>
      <c r="J125" s="5"/>
      <c r="K125" s="57"/>
      <c r="L125" s="57"/>
      <c r="M125" s="57"/>
      <c r="N125" s="57"/>
      <c r="O125" s="57"/>
      <c r="P125" s="57"/>
      <c r="Q125" s="57"/>
      <c r="R125" s="57"/>
      <c r="S125" s="57"/>
      <c r="T125" s="57"/>
      <c r="U125" s="57"/>
      <c r="V125" s="57"/>
      <c r="W125" s="1"/>
      <c r="X125" s="43" t="s">
        <v>422</v>
      </c>
      <c r="Y125" s="43" t="s">
        <v>422</v>
      </c>
      <c r="Z125" s="43" t="s">
        <v>422</v>
      </c>
      <c r="AA125" s="43" t="s">
        <v>422</v>
      </c>
      <c r="AB125" s="43" t="s">
        <v>143</v>
      </c>
      <c r="AC125" s="43" t="s">
        <v>143</v>
      </c>
      <c r="AD125" s="43" t="s">
        <v>286</v>
      </c>
      <c r="AE125" s="43" t="s">
        <v>286</v>
      </c>
      <c r="AF125" s="43" t="s">
        <v>286</v>
      </c>
      <c r="AG125" s="43" t="s">
        <v>286</v>
      </c>
      <c r="AH125" s="43" t="s">
        <v>292</v>
      </c>
      <c r="AI125" s="43" t="s">
        <v>292</v>
      </c>
      <c r="AJ125" s="43" t="s">
        <v>292</v>
      </c>
      <c r="AK125" s="43" t="s">
        <v>292</v>
      </c>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row>
    <row r="126" spans="2:59" ht="12.75">
      <c r="B126" s="64" t="s">
        <v>676</v>
      </c>
      <c r="C126" s="1">
        <f>E126*(VLOOKUP(D126,Race,2,FALSE)*(N126*init_bonus+O126+P126*front+Q126*Back+R126+S126*armour+SUM(T126:V126))*(Thrust_base+(I126/J126)/Thrust_div)*POWER(W126,Weapon_power))/(POWER(signature,(L126-M126)))*IF(K126="Y",gravitic,1)*IF(H126="Y",agile,1)/divisor</f>
        <v>510.15052620364656</v>
      </c>
      <c r="D126" s="1" t="s">
        <v>537</v>
      </c>
      <c r="E126" s="57">
        <v>1</v>
      </c>
      <c r="F126" s="57">
        <v>0</v>
      </c>
      <c r="G126" s="58">
        <f>F126*C$152</f>
        <v>0</v>
      </c>
      <c r="H126" s="52" t="s">
        <v>21</v>
      </c>
      <c r="I126" s="52">
        <v>12</v>
      </c>
      <c r="J126" s="52">
        <v>3</v>
      </c>
      <c r="K126" s="57" t="s">
        <v>21</v>
      </c>
      <c r="L126" s="57">
        <v>11</v>
      </c>
      <c r="M126" s="57">
        <v>9</v>
      </c>
      <c r="N126" s="57">
        <v>0</v>
      </c>
      <c r="O126" s="57">
        <v>50</v>
      </c>
      <c r="P126" s="57">
        <v>70</v>
      </c>
      <c r="Q126" s="57">
        <v>50</v>
      </c>
      <c r="R126" s="57">
        <v>70</v>
      </c>
      <c r="S126" s="57">
        <v>4.25</v>
      </c>
      <c r="T126" s="57"/>
      <c r="U126" s="57"/>
      <c r="V126" s="57"/>
      <c r="W126" s="1">
        <f>SUM(X126:BD126)*(num_weapons_base+num_weapons_mod*COUNT(X126:BD126))</f>
        <v>316.4202674285715</v>
      </c>
      <c r="X126" s="53">
        <f aca="true" t="shared" si="42" ref="X126:AK126">VLOOKUP(X125,weapon,2,FALSE)</f>
        <v>28.274400000000004</v>
      </c>
      <c r="Y126" s="53">
        <f t="shared" si="42"/>
        <v>28.274400000000004</v>
      </c>
      <c r="Z126" s="53">
        <f t="shared" si="42"/>
        <v>28.274400000000004</v>
      </c>
      <c r="AA126" s="53">
        <f t="shared" si="42"/>
        <v>28.274400000000004</v>
      </c>
      <c r="AB126" s="53">
        <f t="shared" si="42"/>
        <v>12.571428571428573</v>
      </c>
      <c r="AC126" s="53">
        <f t="shared" si="42"/>
        <v>12.571428571428573</v>
      </c>
      <c r="AD126" s="53">
        <f t="shared" si="42"/>
        <v>7.17255</v>
      </c>
      <c r="AE126" s="53">
        <f t="shared" si="42"/>
        <v>7.17255</v>
      </c>
      <c r="AF126" s="53">
        <f t="shared" si="42"/>
        <v>7.17255</v>
      </c>
      <c r="AG126" s="53">
        <f t="shared" si="42"/>
        <v>7.17255</v>
      </c>
      <c r="AH126" s="53">
        <f t="shared" si="42"/>
        <v>10.310142857142857</v>
      </c>
      <c r="AI126" s="53">
        <f t="shared" si="42"/>
        <v>10.310142857142857</v>
      </c>
      <c r="AJ126" s="53">
        <f t="shared" si="42"/>
        <v>10.310142857142857</v>
      </c>
      <c r="AK126" s="53">
        <f t="shared" si="42"/>
        <v>10.310142857142857</v>
      </c>
      <c r="AL126" s="53"/>
      <c r="AM126" s="53"/>
      <c r="AN126" s="53"/>
      <c r="AO126" s="53"/>
      <c r="AP126" s="53"/>
      <c r="AQ126" s="53"/>
      <c r="AR126" s="53"/>
      <c r="AS126" s="53"/>
      <c r="AT126" s="53"/>
      <c r="AU126" s="53"/>
      <c r="AV126" s="53"/>
      <c r="AW126" s="53"/>
      <c r="AX126" s="53"/>
      <c r="AY126" s="43"/>
      <c r="AZ126" s="43"/>
      <c r="BA126" s="43"/>
      <c r="BB126" s="43"/>
      <c r="BC126" s="43"/>
      <c r="BD126" s="43"/>
      <c r="BE126" s="43"/>
      <c r="BF126" s="43"/>
      <c r="BG126" s="43"/>
    </row>
    <row r="127" spans="2:59" ht="12.75">
      <c r="B127" s="12"/>
      <c r="C127" s="42"/>
      <c r="D127" s="42"/>
      <c r="E127" s="57"/>
      <c r="F127" s="57"/>
      <c r="G127" s="58"/>
      <c r="H127" s="5"/>
      <c r="I127" s="5"/>
      <c r="J127" s="5"/>
      <c r="K127" s="57"/>
      <c r="L127" s="57"/>
      <c r="M127" s="57"/>
      <c r="N127" s="57"/>
      <c r="O127" s="57"/>
      <c r="P127" s="57"/>
      <c r="Q127" s="57"/>
      <c r="R127" s="57"/>
      <c r="S127" s="57"/>
      <c r="T127" s="57"/>
      <c r="U127" s="57"/>
      <c r="V127" s="57"/>
      <c r="W127" s="1"/>
      <c r="X127" s="43" t="s">
        <v>311</v>
      </c>
      <c r="Y127" s="43" t="s">
        <v>422</v>
      </c>
      <c r="Z127" s="43" t="s">
        <v>422</v>
      </c>
      <c r="AA127" s="43" t="s">
        <v>286</v>
      </c>
      <c r="AB127" s="43" t="s">
        <v>286</v>
      </c>
      <c r="AC127" s="43" t="s">
        <v>286</v>
      </c>
      <c r="AD127" s="43" t="s">
        <v>286</v>
      </c>
      <c r="AE127" s="43" t="s">
        <v>306</v>
      </c>
      <c r="AF127" s="43" t="s">
        <v>306</v>
      </c>
      <c r="AG127" s="43" t="s">
        <v>306</v>
      </c>
      <c r="AH127" s="43" t="s">
        <v>306</v>
      </c>
      <c r="AI127" s="43" t="s">
        <v>306</v>
      </c>
      <c r="AJ127" s="43" t="s">
        <v>306</v>
      </c>
      <c r="AK127" s="43" t="s">
        <v>306</v>
      </c>
      <c r="AL127" s="43" t="s">
        <v>306</v>
      </c>
      <c r="AM127" s="43" t="s">
        <v>306</v>
      </c>
      <c r="AN127" s="43" t="s">
        <v>306</v>
      </c>
      <c r="AO127" s="43" t="s">
        <v>306</v>
      </c>
      <c r="AP127" s="43" t="s">
        <v>306</v>
      </c>
      <c r="AQ127" s="43" t="s">
        <v>306</v>
      </c>
      <c r="AR127" s="43" t="s">
        <v>306</v>
      </c>
      <c r="AS127" s="43" t="s">
        <v>306</v>
      </c>
      <c r="AT127" s="43" t="s">
        <v>306</v>
      </c>
      <c r="AU127" s="43" t="s">
        <v>306</v>
      </c>
      <c r="AV127" s="43" t="s">
        <v>306</v>
      </c>
      <c r="AW127" s="43" t="s">
        <v>306</v>
      </c>
      <c r="AX127" s="43" t="s">
        <v>306</v>
      </c>
      <c r="AY127" s="43"/>
      <c r="AZ127" s="43"/>
      <c r="BA127" s="43"/>
      <c r="BB127" s="43"/>
      <c r="BC127" s="43"/>
      <c r="BD127" s="43"/>
      <c r="BE127" s="43"/>
      <c r="BF127" s="43"/>
      <c r="BG127" s="43"/>
    </row>
    <row r="128" spans="2:59" ht="12.75">
      <c r="B128" s="64" t="s">
        <v>677</v>
      </c>
      <c r="C128" s="1" t="e">
        <f>E128*(VLOOKUP(D128,Race,2,FALSE)*(N128*init_bonus+O128+P128*front+Q128*Back+R128+S128*armour+SUM(T128:V128))*(Thrust_base+(I128/J128)/Thrust_div)*POWER(W128,Weapon_power))/(POWER(signature,(L128-M128)))*IF(K128="Y",gravitic,1)*IF(H128="Y",agile,1)/divisor</f>
        <v>#N/A</v>
      </c>
      <c r="D128" s="1" t="s">
        <v>537</v>
      </c>
      <c r="E128" s="57">
        <v>1</v>
      </c>
      <c r="F128" s="57">
        <v>6</v>
      </c>
      <c r="G128" s="58">
        <f>F128*C$152</f>
        <v>21.866260999481288</v>
      </c>
      <c r="H128" s="52" t="s">
        <v>21</v>
      </c>
      <c r="I128" s="52">
        <v>10</v>
      </c>
      <c r="J128" s="52">
        <v>3</v>
      </c>
      <c r="K128" s="57" t="s">
        <v>21</v>
      </c>
      <c r="L128" s="57">
        <v>9</v>
      </c>
      <c r="M128" s="57">
        <v>6</v>
      </c>
      <c r="N128" s="57">
        <v>6</v>
      </c>
      <c r="O128" s="57">
        <v>50</v>
      </c>
      <c r="P128" s="57">
        <v>56</v>
      </c>
      <c r="Q128" s="57">
        <v>54</v>
      </c>
      <c r="R128" s="57">
        <v>0</v>
      </c>
      <c r="S128" s="57">
        <v>3.5</v>
      </c>
      <c r="T128" s="57"/>
      <c r="U128" s="57">
        <v>6</v>
      </c>
      <c r="V128" s="57"/>
      <c r="W128" s="1" t="e">
        <f>SUM(X128:BD128)*(num_weapons_base+num_weapons_mod*COUNT(X128:BD128))</f>
        <v>#N/A</v>
      </c>
      <c r="X128" s="53">
        <f aca="true" t="shared" si="43" ref="X128:AG128">VLOOKUP(X127,weapon,2,FALSE)</f>
        <v>45.25868263473054</v>
      </c>
      <c r="Y128" s="53">
        <f t="shared" si="43"/>
        <v>28.274400000000004</v>
      </c>
      <c r="Z128" s="53">
        <f t="shared" si="43"/>
        <v>28.274400000000004</v>
      </c>
      <c r="AA128" s="53">
        <f t="shared" si="43"/>
        <v>7.17255</v>
      </c>
      <c r="AB128" s="53">
        <f t="shared" si="43"/>
        <v>7.17255</v>
      </c>
      <c r="AC128" s="53">
        <f t="shared" si="43"/>
        <v>7.17255</v>
      </c>
      <c r="AD128" s="53">
        <f t="shared" si="43"/>
        <v>7.17255</v>
      </c>
      <c r="AE128" s="53" t="e">
        <f t="shared" si="43"/>
        <v>#N/A</v>
      </c>
      <c r="AF128" s="53" t="e">
        <f t="shared" si="43"/>
        <v>#N/A</v>
      </c>
      <c r="AG128" s="53" t="e">
        <f t="shared" si="43"/>
        <v>#N/A</v>
      </c>
      <c r="AH128" s="53"/>
      <c r="AI128" s="53"/>
      <c r="AJ128" s="53"/>
      <c r="AK128" s="53"/>
      <c r="AL128" s="53"/>
      <c r="AM128" s="53"/>
      <c r="AN128" s="53"/>
      <c r="AO128" s="53"/>
      <c r="AP128" s="53"/>
      <c r="AQ128" s="53"/>
      <c r="AR128" s="53"/>
      <c r="AS128" s="53"/>
      <c r="AT128" s="53"/>
      <c r="AU128" s="53"/>
      <c r="AV128" s="53"/>
      <c r="AW128" s="53"/>
      <c r="AX128" s="53"/>
      <c r="AY128" s="43"/>
      <c r="AZ128" s="43"/>
      <c r="BA128" s="43"/>
      <c r="BB128" s="43"/>
      <c r="BC128" s="43"/>
      <c r="BD128" s="43"/>
      <c r="BE128" s="43"/>
      <c r="BF128" s="43"/>
      <c r="BG128" s="43"/>
    </row>
    <row r="129" spans="2:59" ht="12.75">
      <c r="B129" s="12"/>
      <c r="C129" s="42"/>
      <c r="D129" s="42"/>
      <c r="E129" s="57"/>
      <c r="F129" s="57"/>
      <c r="G129" s="58"/>
      <c r="H129" s="5"/>
      <c r="I129" s="5"/>
      <c r="J129" s="5"/>
      <c r="K129" s="57"/>
      <c r="L129" s="57"/>
      <c r="M129" s="57"/>
      <c r="N129" s="57"/>
      <c r="O129" s="57"/>
      <c r="P129" s="57"/>
      <c r="Q129" s="57"/>
      <c r="R129" s="57"/>
      <c r="S129" s="57"/>
      <c r="T129" s="57"/>
      <c r="U129" s="57"/>
      <c r="V129" s="57"/>
      <c r="W129" s="1"/>
      <c r="X129" s="43" t="s">
        <v>401</v>
      </c>
      <c r="Y129" s="43" t="s">
        <v>401</v>
      </c>
      <c r="Z129" s="43" t="s">
        <v>401</v>
      </c>
      <c r="AA129" s="43" t="s">
        <v>286</v>
      </c>
      <c r="AB129" s="43" t="s">
        <v>286</v>
      </c>
      <c r="AC129" s="43" t="s">
        <v>286</v>
      </c>
      <c r="AD129" s="43" t="s">
        <v>286</v>
      </c>
      <c r="AE129" s="43" t="s">
        <v>306</v>
      </c>
      <c r="AF129" s="43" t="s">
        <v>306</v>
      </c>
      <c r="AG129" s="43" t="s">
        <v>306</v>
      </c>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row>
    <row r="130" spans="2:59" ht="12.75">
      <c r="B130" s="64" t="s">
        <v>987</v>
      </c>
      <c r="C130" s="1" t="e">
        <f>E130*(VLOOKUP(D130,Race,2,FALSE)*(N130*init_bonus+O130+P130*front+Q130*Back+R130+S130*armour+SUM(T130:V130))*(Thrust_base+(I130/J130)/Thrust_div)*POWER(W130,Weapon_power))/(POWER(signature,(L130-M130)))*IF(K130="Y",gravitic,1)*IF(H130="Y",agile,1)/divisor</f>
        <v>#N/A</v>
      </c>
      <c r="D130" s="1" t="s">
        <v>537</v>
      </c>
      <c r="E130" s="57">
        <v>1</v>
      </c>
      <c r="F130" s="57">
        <v>6</v>
      </c>
      <c r="G130" s="58">
        <f>F130*C$152</f>
        <v>21.866260999481288</v>
      </c>
      <c r="H130" s="52" t="s">
        <v>21</v>
      </c>
      <c r="I130" s="52">
        <v>10</v>
      </c>
      <c r="J130" s="52">
        <v>3</v>
      </c>
      <c r="K130" s="57" t="s">
        <v>21</v>
      </c>
      <c r="L130" s="57">
        <v>9</v>
      </c>
      <c r="M130" s="57">
        <v>7</v>
      </c>
      <c r="N130" s="57">
        <v>6</v>
      </c>
      <c r="O130" s="57">
        <v>50</v>
      </c>
      <c r="P130" s="57">
        <v>56</v>
      </c>
      <c r="Q130" s="57">
        <v>54</v>
      </c>
      <c r="R130" s="57">
        <v>0</v>
      </c>
      <c r="S130" s="57">
        <v>3.5</v>
      </c>
      <c r="T130" s="57"/>
      <c r="U130" s="57"/>
      <c r="V130" s="57"/>
      <c r="W130" s="1" t="e">
        <f>SUM(X130:BD130)*(num_weapons_base+num_weapons_mod*COUNT(X130:BD130))</f>
        <v>#N/A</v>
      </c>
      <c r="X130" s="53">
        <f aca="true" t="shared" si="44" ref="X130:AG130">VLOOKUP(X129,weapon,2,FALSE)</f>
        <v>41.553000000000004</v>
      </c>
      <c r="Y130" s="53">
        <f t="shared" si="44"/>
        <v>41.553000000000004</v>
      </c>
      <c r="Z130" s="53">
        <f t="shared" si="44"/>
        <v>41.553000000000004</v>
      </c>
      <c r="AA130" s="53">
        <f t="shared" si="44"/>
        <v>7.17255</v>
      </c>
      <c r="AB130" s="53">
        <f t="shared" si="44"/>
        <v>7.17255</v>
      </c>
      <c r="AC130" s="53">
        <f t="shared" si="44"/>
        <v>7.17255</v>
      </c>
      <c r="AD130" s="53">
        <f t="shared" si="44"/>
        <v>7.17255</v>
      </c>
      <c r="AE130" s="53" t="e">
        <f t="shared" si="44"/>
        <v>#N/A</v>
      </c>
      <c r="AF130" s="53" t="e">
        <f t="shared" si="44"/>
        <v>#N/A</v>
      </c>
      <c r="AG130" s="53" t="e">
        <f t="shared" si="44"/>
        <v>#N/A</v>
      </c>
      <c r="AH130" s="53"/>
      <c r="AI130" s="53"/>
      <c r="AJ130" s="53"/>
      <c r="AK130" s="53"/>
      <c r="AL130" s="53"/>
      <c r="AM130" s="53"/>
      <c r="AN130" s="53"/>
      <c r="AO130" s="53"/>
      <c r="AP130" s="53"/>
      <c r="AQ130" s="53"/>
      <c r="AR130" s="53"/>
      <c r="AS130" s="53"/>
      <c r="AT130" s="53"/>
      <c r="AU130" s="53"/>
      <c r="AV130" s="53"/>
      <c r="AW130" s="53"/>
      <c r="AX130" s="53"/>
      <c r="AY130" s="43"/>
      <c r="AZ130" s="43"/>
      <c r="BA130" s="43"/>
      <c r="BB130" s="43"/>
      <c r="BC130" s="43"/>
      <c r="BD130" s="43"/>
      <c r="BE130" s="43"/>
      <c r="BF130" s="43"/>
      <c r="BG130" s="43"/>
    </row>
    <row r="131" spans="2:59" ht="12.75">
      <c r="B131" s="12"/>
      <c r="C131" s="42"/>
      <c r="D131" s="42"/>
      <c r="E131" s="57"/>
      <c r="F131" s="57"/>
      <c r="G131" s="58"/>
      <c r="H131" s="5"/>
      <c r="I131" s="5"/>
      <c r="J131" s="5"/>
      <c r="K131" s="57"/>
      <c r="L131" s="57"/>
      <c r="M131" s="57"/>
      <c r="N131" s="57"/>
      <c r="O131" s="57"/>
      <c r="P131" s="57"/>
      <c r="Q131" s="57"/>
      <c r="R131" s="57"/>
      <c r="S131" s="57"/>
      <c r="T131" s="57"/>
      <c r="U131" s="57"/>
      <c r="V131" s="57"/>
      <c r="W131" s="1"/>
      <c r="X131" s="43" t="s">
        <v>351</v>
      </c>
      <c r="Y131" s="43" t="s">
        <v>351</v>
      </c>
      <c r="Z131" s="43" t="s">
        <v>292</v>
      </c>
      <c r="AA131" s="43" t="s">
        <v>292</v>
      </c>
      <c r="AB131" s="43" t="s">
        <v>292</v>
      </c>
      <c r="AC131" s="43" t="s">
        <v>292</v>
      </c>
      <c r="AD131" s="43" t="s">
        <v>286</v>
      </c>
      <c r="AE131" s="43" t="s">
        <v>286</v>
      </c>
      <c r="AF131" s="43" t="s">
        <v>306</v>
      </c>
      <c r="AG131" s="43" t="s">
        <v>306</v>
      </c>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row>
    <row r="132" spans="2:59" ht="12.75">
      <c r="B132" s="64" t="s">
        <v>539</v>
      </c>
      <c r="C132" s="1">
        <f>E132*(VLOOKUP(D132,Race,2,FALSE)*(N132*init_bonus+O132+P132*front+Q132*Back+R132+S132*armour+SUM(T132:V132))*(Thrust_base+(I132/J132)/Thrust_div)*POWER(W132,Weapon_power))/(POWER(signature,(L132-M132)))*IF(K132="Y",gravitic,1)*IF(H132="Y",agile,1)/divisor</f>
        <v>233.63986775743433</v>
      </c>
      <c r="D132" s="1" t="s">
        <v>537</v>
      </c>
      <c r="E132" s="57">
        <v>1</v>
      </c>
      <c r="F132" s="57">
        <v>0</v>
      </c>
      <c r="G132" s="58">
        <f>F132*C$152</f>
        <v>0</v>
      </c>
      <c r="H132" s="52" t="s">
        <v>21</v>
      </c>
      <c r="I132" s="52">
        <v>12</v>
      </c>
      <c r="J132" s="52">
        <v>3</v>
      </c>
      <c r="K132" s="57" t="s">
        <v>21</v>
      </c>
      <c r="L132" s="57">
        <v>6</v>
      </c>
      <c r="M132" s="57">
        <v>6</v>
      </c>
      <c r="N132" s="57">
        <v>8</v>
      </c>
      <c r="O132" s="57">
        <v>35</v>
      </c>
      <c r="P132" s="57">
        <v>50</v>
      </c>
      <c r="Q132" s="57">
        <v>50</v>
      </c>
      <c r="R132" s="57">
        <v>0</v>
      </c>
      <c r="S132" s="57">
        <v>3.5</v>
      </c>
      <c r="T132" s="57"/>
      <c r="U132" s="57"/>
      <c r="V132" s="57"/>
      <c r="W132" s="1">
        <f>SUM(X132:BD132)*(num_weapons_base+num_weapons_mod*COUNT(X132:BD132))</f>
        <v>193.316845057314</v>
      </c>
      <c r="X132" s="53">
        <f aca="true" t="shared" si="45" ref="X132:AE132">VLOOKUP(X131,weapon,2,FALSE)</f>
        <v>47.721556886227546</v>
      </c>
      <c r="Y132" s="53">
        <f t="shared" si="45"/>
        <v>47.721556886227546</v>
      </c>
      <c r="Z132" s="53">
        <f t="shared" si="45"/>
        <v>10.310142857142857</v>
      </c>
      <c r="AA132" s="53">
        <f t="shared" si="45"/>
        <v>10.310142857142857</v>
      </c>
      <c r="AB132" s="53">
        <f t="shared" si="45"/>
        <v>10.310142857142857</v>
      </c>
      <c r="AC132" s="53">
        <f t="shared" si="45"/>
        <v>10.310142857142857</v>
      </c>
      <c r="AD132" s="53">
        <f t="shared" si="45"/>
        <v>7.17255</v>
      </c>
      <c r="AE132" s="53">
        <f t="shared" si="45"/>
        <v>7.17255</v>
      </c>
      <c r="AF132" s="53"/>
      <c r="AG132" s="53"/>
      <c r="AH132" s="53"/>
      <c r="AI132" s="53"/>
      <c r="AJ132" s="53"/>
      <c r="AK132" s="53"/>
      <c r="AL132" s="53"/>
      <c r="AM132" s="53"/>
      <c r="AN132" s="53"/>
      <c r="AO132" s="53"/>
      <c r="AP132" s="53"/>
      <c r="AQ132" s="53"/>
      <c r="AR132" s="53"/>
      <c r="AS132" s="53"/>
      <c r="AT132" s="53"/>
      <c r="AU132" s="53"/>
      <c r="AV132" s="53"/>
      <c r="AW132" s="53"/>
      <c r="AX132" s="53"/>
      <c r="AY132" s="43"/>
      <c r="AZ132" s="43"/>
      <c r="BA132" s="43"/>
      <c r="BB132" s="43"/>
      <c r="BC132" s="43"/>
      <c r="BD132" s="43"/>
      <c r="BE132" s="43"/>
      <c r="BF132" s="43"/>
      <c r="BG132" s="43"/>
    </row>
    <row r="133" spans="2:59" ht="12.75">
      <c r="B133" s="12"/>
      <c r="C133" s="42"/>
      <c r="D133" s="42"/>
      <c r="E133" s="57"/>
      <c r="F133" s="57"/>
      <c r="G133" s="58"/>
      <c r="H133" s="5"/>
      <c r="I133" s="5"/>
      <c r="J133" s="5"/>
      <c r="K133" s="57"/>
      <c r="L133" s="57"/>
      <c r="M133" s="57"/>
      <c r="N133" s="57"/>
      <c r="O133" s="57"/>
      <c r="P133" s="57"/>
      <c r="Q133" s="57"/>
      <c r="R133" s="57"/>
      <c r="S133" s="57"/>
      <c r="T133" s="57"/>
      <c r="U133" s="57"/>
      <c r="V133" s="57"/>
      <c r="W133" s="1"/>
      <c r="X133" s="43"/>
      <c r="Y133" s="43"/>
      <c r="Z133" s="43"/>
      <c r="AA133" s="43"/>
      <c r="AB133" s="43"/>
      <c r="AC133" s="43" t="s">
        <v>306</v>
      </c>
      <c r="AD133" s="43" t="s">
        <v>306</v>
      </c>
      <c r="AE133" s="43" t="s">
        <v>306</v>
      </c>
      <c r="AF133" s="43" t="s">
        <v>306</v>
      </c>
      <c r="AG133" s="43" t="s">
        <v>306</v>
      </c>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row>
    <row r="134" spans="2:59" ht="12.75">
      <c r="B134" s="64" t="s">
        <v>989</v>
      </c>
      <c r="C134" s="1" t="e">
        <f>E134*(VLOOKUP(D134,Race,2,FALSE)*(N134*init_bonus+O134+P134*front+Q134*Back+R134+S134*armour+SUM(T134:V134))*(Thrust_base+(I134/J134)/Thrust_div)*POWER(W134,Weapon_power))/(POWER(signature,(L134-M134)))*IF(K134="Y",gravitic,1)*IF(H134="Y",agile,1)/divisor</f>
        <v>#N/A</v>
      </c>
      <c r="D134" s="1" t="s">
        <v>537</v>
      </c>
      <c r="E134" s="57">
        <v>1</v>
      </c>
      <c r="F134" s="57">
        <v>0</v>
      </c>
      <c r="G134" s="58">
        <f>F134*C$152</f>
        <v>0</v>
      </c>
      <c r="H134" s="52" t="s">
        <v>2</v>
      </c>
      <c r="I134" s="52">
        <v>12</v>
      </c>
      <c r="J134" s="52">
        <v>2</v>
      </c>
      <c r="K134" s="57" t="s">
        <v>21</v>
      </c>
      <c r="L134" s="57">
        <v>2</v>
      </c>
      <c r="M134" s="57">
        <v>4</v>
      </c>
      <c r="N134" s="57">
        <v>12</v>
      </c>
      <c r="O134" s="57">
        <v>48</v>
      </c>
      <c r="P134" s="57">
        <v>0</v>
      </c>
      <c r="Q134" s="57">
        <v>0</v>
      </c>
      <c r="R134" s="57">
        <v>0</v>
      </c>
      <c r="S134" s="57">
        <v>1</v>
      </c>
      <c r="T134" s="57"/>
      <c r="U134" s="57">
        <v>4</v>
      </c>
      <c r="V134" s="57"/>
      <c r="W134" s="1" t="e">
        <f>SUM(X134:BD134)*(num_weapons_base+num_weapons_mod*COUNT(X134:BD134))</f>
        <v>#N/A</v>
      </c>
      <c r="X134" s="53" t="e">
        <f aca="true" t="shared" si="46" ref="X134:AG134">VLOOKUP(X133,weapon,2,FALSE)</f>
        <v>#N/A</v>
      </c>
      <c r="Y134" s="53" t="e">
        <f t="shared" si="46"/>
        <v>#N/A</v>
      </c>
      <c r="Z134" s="53" t="e">
        <f t="shared" si="46"/>
        <v>#N/A</v>
      </c>
      <c r="AA134" s="53" t="e">
        <f t="shared" si="46"/>
        <v>#N/A</v>
      </c>
      <c r="AB134" s="53" t="e">
        <f t="shared" si="46"/>
        <v>#N/A</v>
      </c>
      <c r="AC134" s="53" t="e">
        <f t="shared" si="46"/>
        <v>#N/A</v>
      </c>
      <c r="AD134" s="53" t="e">
        <f t="shared" si="46"/>
        <v>#N/A</v>
      </c>
      <c r="AE134" s="53" t="e">
        <f t="shared" si="46"/>
        <v>#N/A</v>
      </c>
      <c r="AF134" s="53" t="e">
        <f t="shared" si="46"/>
        <v>#N/A</v>
      </c>
      <c r="AG134" s="53" t="e">
        <f t="shared" si="46"/>
        <v>#N/A</v>
      </c>
      <c r="AH134" s="53"/>
      <c r="AI134" s="53"/>
      <c r="AJ134" s="53"/>
      <c r="AK134" s="53"/>
      <c r="AL134" s="53"/>
      <c r="AM134" s="53"/>
      <c r="AN134" s="53"/>
      <c r="AO134" s="53"/>
      <c r="AP134" s="53"/>
      <c r="AQ134" s="53"/>
      <c r="AR134" s="53"/>
      <c r="AS134" s="53"/>
      <c r="AT134" s="53"/>
      <c r="AU134" s="53"/>
      <c r="AV134" s="53"/>
      <c r="AW134" s="53"/>
      <c r="AX134" s="53"/>
      <c r="AY134" s="43"/>
      <c r="AZ134" s="43"/>
      <c r="BA134" s="43"/>
      <c r="BB134" s="43"/>
      <c r="BC134" s="43"/>
      <c r="BD134" s="43"/>
      <c r="BE134" s="43"/>
      <c r="BF134" s="43"/>
      <c r="BG134" s="43"/>
    </row>
    <row r="135" spans="2:59" ht="12.75">
      <c r="B135" s="12"/>
      <c r="C135" s="42"/>
      <c r="D135" s="42"/>
      <c r="E135" s="57"/>
      <c r="F135" s="57"/>
      <c r="G135" s="58"/>
      <c r="H135" s="5"/>
      <c r="I135" s="5"/>
      <c r="J135" s="5"/>
      <c r="K135" s="57"/>
      <c r="L135" s="57"/>
      <c r="M135" s="57"/>
      <c r="N135" s="57"/>
      <c r="O135" s="57"/>
      <c r="P135" s="57"/>
      <c r="Q135" s="57"/>
      <c r="R135" s="57"/>
      <c r="S135" s="57"/>
      <c r="T135" s="57"/>
      <c r="U135" s="57"/>
      <c r="V135" s="57"/>
      <c r="W135" s="1"/>
      <c r="X135" s="43" t="s">
        <v>343</v>
      </c>
      <c r="Y135" s="43" t="s">
        <v>241</v>
      </c>
      <c r="Z135" s="43" t="s">
        <v>241</v>
      </c>
      <c r="AA135" s="43" t="s">
        <v>284</v>
      </c>
      <c r="AB135" s="43" t="s">
        <v>284</v>
      </c>
      <c r="AC135" s="43" t="s">
        <v>306</v>
      </c>
      <c r="AD135" s="43" t="s">
        <v>306</v>
      </c>
      <c r="AE135" s="43" t="s">
        <v>306</v>
      </c>
      <c r="AF135" s="43" t="s">
        <v>306</v>
      </c>
      <c r="AG135" s="43" t="s">
        <v>306</v>
      </c>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row>
    <row r="136" spans="2:59" ht="12.75">
      <c r="B136" s="64" t="s">
        <v>680</v>
      </c>
      <c r="C136" s="1" t="e">
        <f>E136*(VLOOKUP(D136,Race,2,FALSE)*(N136*init_bonus+O136+P136*front+Q136*Back+R136+S136*armour+SUM(T136:V136))*(Thrust_base+(I136/J136)/Thrust_div)*POWER(W136,Weapon_power))/(POWER(signature,(L136-M136)))*IF(K136="Y",gravitic,1)*IF(H136="Y",agile,1)/divisor</f>
        <v>#N/A</v>
      </c>
      <c r="D136" s="1" t="s">
        <v>537</v>
      </c>
      <c r="E136" s="57">
        <v>1</v>
      </c>
      <c r="F136" s="57">
        <v>0</v>
      </c>
      <c r="G136" s="58">
        <f>F136*C$152</f>
        <v>0</v>
      </c>
      <c r="H136" s="52" t="s">
        <v>2</v>
      </c>
      <c r="I136" s="52">
        <v>12</v>
      </c>
      <c r="J136" s="52">
        <v>2</v>
      </c>
      <c r="K136" s="57" t="s">
        <v>21</v>
      </c>
      <c r="L136" s="57">
        <v>2</v>
      </c>
      <c r="M136" s="57">
        <v>4</v>
      </c>
      <c r="N136" s="57">
        <v>12</v>
      </c>
      <c r="O136" s="57">
        <v>48</v>
      </c>
      <c r="P136" s="57">
        <v>0</v>
      </c>
      <c r="Q136" s="57">
        <v>0</v>
      </c>
      <c r="R136" s="57">
        <v>0</v>
      </c>
      <c r="S136" s="57">
        <v>1</v>
      </c>
      <c r="T136" s="57"/>
      <c r="U136" s="57">
        <v>4</v>
      </c>
      <c r="V136" s="57"/>
      <c r="W136" s="1" t="e">
        <f>SUM(X136:BD136)*(num_weapons_base+num_weapons_mod*COUNT(X136:BD136))</f>
        <v>#N/A</v>
      </c>
      <c r="X136" s="53">
        <f aca="true" t="shared" si="47" ref="X136:AG136">VLOOKUP(X135,weapon,2,FALSE)</f>
        <v>39.921428571428564</v>
      </c>
      <c r="Y136" s="53">
        <f t="shared" si="47"/>
        <v>5.06</v>
      </c>
      <c r="Z136" s="53">
        <f t="shared" si="47"/>
        <v>5.06</v>
      </c>
      <c r="AA136" s="53">
        <f t="shared" si="47"/>
        <v>7.8246</v>
      </c>
      <c r="AB136" s="53">
        <f t="shared" si="47"/>
        <v>7.8246</v>
      </c>
      <c r="AC136" s="53" t="e">
        <f t="shared" si="47"/>
        <v>#N/A</v>
      </c>
      <c r="AD136" s="53" t="e">
        <f t="shared" si="47"/>
        <v>#N/A</v>
      </c>
      <c r="AE136" s="53" t="e">
        <f t="shared" si="47"/>
        <v>#N/A</v>
      </c>
      <c r="AF136" s="53" t="e">
        <f t="shared" si="47"/>
        <v>#N/A</v>
      </c>
      <c r="AG136" s="53" t="e">
        <f t="shared" si="47"/>
        <v>#N/A</v>
      </c>
      <c r="AH136" s="53"/>
      <c r="AI136" s="53"/>
      <c r="AJ136" s="53"/>
      <c r="AK136" s="53"/>
      <c r="AL136" s="53"/>
      <c r="AM136" s="53"/>
      <c r="AN136" s="53"/>
      <c r="AO136" s="53"/>
      <c r="AP136" s="53"/>
      <c r="AQ136" s="53"/>
      <c r="AR136" s="53"/>
      <c r="AS136" s="53"/>
      <c r="AT136" s="53"/>
      <c r="AU136" s="53"/>
      <c r="AV136" s="53"/>
      <c r="AW136" s="53"/>
      <c r="AX136" s="53"/>
      <c r="AY136" s="43"/>
      <c r="AZ136" s="43"/>
      <c r="BA136" s="43"/>
      <c r="BB136" s="43"/>
      <c r="BC136" s="43"/>
      <c r="BD136" s="43"/>
      <c r="BE136" s="43"/>
      <c r="BF136" s="43"/>
      <c r="BG136" s="43"/>
    </row>
    <row r="137" spans="2:59" ht="12.75">
      <c r="B137" s="12"/>
      <c r="C137" s="42"/>
      <c r="D137" s="42"/>
      <c r="E137" s="57"/>
      <c r="F137" s="57"/>
      <c r="G137" s="58"/>
      <c r="H137" s="5"/>
      <c r="I137" s="5"/>
      <c r="J137" s="5"/>
      <c r="K137" s="57"/>
      <c r="L137" s="57"/>
      <c r="M137" s="57"/>
      <c r="N137" s="57"/>
      <c r="O137" s="57"/>
      <c r="P137" s="57"/>
      <c r="Q137" s="57"/>
      <c r="R137" s="57"/>
      <c r="S137" s="57"/>
      <c r="T137" s="57"/>
      <c r="U137" s="57"/>
      <c r="V137" s="57"/>
      <c r="W137" s="1"/>
      <c r="X137" s="43" t="s">
        <v>411</v>
      </c>
      <c r="Y137" s="43" t="s">
        <v>411</v>
      </c>
      <c r="Z137" s="43" t="s">
        <v>239</v>
      </c>
      <c r="AA137" s="43" t="s">
        <v>239</v>
      </c>
      <c r="AB137" s="43" t="s">
        <v>292</v>
      </c>
      <c r="AC137" s="43" t="s">
        <v>292</v>
      </c>
      <c r="AD137" s="43" t="s">
        <v>292</v>
      </c>
      <c r="AE137" s="43" t="s">
        <v>292</v>
      </c>
      <c r="AF137" s="43" t="s">
        <v>306</v>
      </c>
      <c r="AG137" s="43" t="s">
        <v>306</v>
      </c>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row>
    <row r="138" spans="2:59" ht="12.75">
      <c r="B138" s="64" t="s">
        <v>540</v>
      </c>
      <c r="C138" s="1" t="e">
        <f>E138*(VLOOKUP(D138,Race,2,FALSE)*(N138*init_bonus+O138+P138*front+Q138*Back+R138+S138*armour+SUM(T138:V138))*(Thrust_base+(I138/J138)/Thrust_div)*POWER(W138,Weapon_power))/(POWER(signature,(L138-M138)))*IF(K138="Y",gravitic,1)*IF(H138="Y",agile,1)/divisor</f>
        <v>#N/A</v>
      </c>
      <c r="D138" s="1" t="s">
        <v>537</v>
      </c>
      <c r="E138" s="57">
        <v>1</v>
      </c>
      <c r="F138" s="57">
        <v>0</v>
      </c>
      <c r="G138" s="58">
        <f>F138*C$152</f>
        <v>0</v>
      </c>
      <c r="H138" s="52" t="s">
        <v>2</v>
      </c>
      <c r="I138" s="52">
        <v>12</v>
      </c>
      <c r="J138" s="52">
        <v>2</v>
      </c>
      <c r="K138" s="57" t="s">
        <v>21</v>
      </c>
      <c r="L138" s="57">
        <v>4</v>
      </c>
      <c r="M138" s="57">
        <v>5</v>
      </c>
      <c r="N138" s="57">
        <v>12</v>
      </c>
      <c r="O138" s="57">
        <v>60</v>
      </c>
      <c r="P138" s="57">
        <v>0</v>
      </c>
      <c r="Q138" s="57">
        <v>0</v>
      </c>
      <c r="R138" s="57">
        <v>0</v>
      </c>
      <c r="S138" s="57">
        <v>1</v>
      </c>
      <c r="T138" s="57"/>
      <c r="U138" s="57"/>
      <c r="V138" s="57"/>
      <c r="W138" s="1" t="e">
        <f>SUM(X138:BD138)*(num_weapons_base+num_weapons_mod*COUNT(X138:BD138))</f>
        <v>#N/A</v>
      </c>
      <c r="X138" s="53">
        <f aca="true" t="shared" si="48" ref="X138:AG138">VLOOKUP(X137,weapon,2,FALSE)</f>
        <v>23.724875748503003</v>
      </c>
      <c r="Y138" s="53">
        <f t="shared" si="48"/>
        <v>23.724875748503003</v>
      </c>
      <c r="Z138" s="53">
        <f t="shared" si="48"/>
        <v>5.566000000000001</v>
      </c>
      <c r="AA138" s="53">
        <f t="shared" si="48"/>
        <v>5.566000000000001</v>
      </c>
      <c r="AB138" s="53">
        <f t="shared" si="48"/>
        <v>10.310142857142857</v>
      </c>
      <c r="AC138" s="53">
        <f t="shared" si="48"/>
        <v>10.310142857142857</v>
      </c>
      <c r="AD138" s="53">
        <f t="shared" si="48"/>
        <v>10.310142857142857</v>
      </c>
      <c r="AE138" s="53">
        <f t="shared" si="48"/>
        <v>10.310142857142857</v>
      </c>
      <c r="AF138" s="53" t="e">
        <f t="shared" si="48"/>
        <v>#N/A</v>
      </c>
      <c r="AG138" s="53" t="e">
        <f t="shared" si="48"/>
        <v>#N/A</v>
      </c>
      <c r="AH138" s="53"/>
      <c r="AI138" s="53"/>
      <c r="AJ138" s="53"/>
      <c r="AK138" s="53"/>
      <c r="AL138" s="53"/>
      <c r="AM138" s="53"/>
      <c r="AN138" s="53"/>
      <c r="AO138" s="53"/>
      <c r="AP138" s="53"/>
      <c r="AQ138" s="53"/>
      <c r="AR138" s="53"/>
      <c r="AS138" s="53"/>
      <c r="AT138" s="53"/>
      <c r="AU138" s="53"/>
      <c r="AV138" s="53"/>
      <c r="AW138" s="53"/>
      <c r="AX138" s="53"/>
      <c r="AY138" s="43"/>
      <c r="AZ138" s="43"/>
      <c r="BA138" s="43"/>
      <c r="BB138" s="43"/>
      <c r="BC138" s="43"/>
      <c r="BD138" s="43"/>
      <c r="BE138" s="43"/>
      <c r="BF138" s="43"/>
      <c r="BG138" s="43"/>
    </row>
    <row r="139" spans="2:59" ht="12.75">
      <c r="B139" s="12"/>
      <c r="C139" s="42"/>
      <c r="D139" s="42"/>
      <c r="E139" s="57"/>
      <c r="F139" s="57"/>
      <c r="G139" s="58"/>
      <c r="H139" s="5"/>
      <c r="I139" s="5"/>
      <c r="J139" s="5"/>
      <c r="K139" s="57"/>
      <c r="L139" s="57"/>
      <c r="M139" s="57"/>
      <c r="N139" s="57"/>
      <c r="O139" s="57"/>
      <c r="P139" s="57"/>
      <c r="Q139" s="57"/>
      <c r="R139" s="57"/>
      <c r="S139" s="57"/>
      <c r="T139" s="57"/>
      <c r="U139" s="57"/>
      <c r="V139" s="57"/>
      <c r="W139" s="1"/>
      <c r="X139" s="43" t="s">
        <v>541</v>
      </c>
      <c r="Y139" s="43" t="s">
        <v>541</v>
      </c>
      <c r="Z139" s="43" t="s">
        <v>347</v>
      </c>
      <c r="AA139" s="43" t="s">
        <v>347</v>
      </c>
      <c r="AB139" s="43" t="s">
        <v>286</v>
      </c>
      <c r="AC139" s="43" t="s">
        <v>286</v>
      </c>
      <c r="AD139" s="43" t="s">
        <v>286</v>
      </c>
      <c r="AE139" s="43" t="s">
        <v>286</v>
      </c>
      <c r="AF139" s="43" t="s">
        <v>286</v>
      </c>
      <c r="AG139" s="43" t="s">
        <v>286</v>
      </c>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row>
    <row r="140" spans="2:59" ht="12.75">
      <c r="B140" s="64" t="s">
        <v>988</v>
      </c>
      <c r="C140" s="1">
        <f>E140*(VLOOKUP(D140,Race,2,FALSE)*(N140*init_bonus+O140+P140*front+Q140*Back+R140+S140*armour+SUM(T140:V140))*(Thrust_base+(I140/J140)/Thrust_div)*POWER(W140,Weapon_power))/(POWER(signature,(L140-M140)))*IF(K140="Y",gravitic,1)*IF(H140="Y",agile,1)/divisor</f>
        <v>214.52253955105775</v>
      </c>
      <c r="D140" s="1" t="s">
        <v>537</v>
      </c>
      <c r="E140" s="57">
        <v>1</v>
      </c>
      <c r="F140" s="57">
        <v>12</v>
      </c>
      <c r="G140" s="58">
        <f>F140*C$152</f>
        <v>43.732521998962575</v>
      </c>
      <c r="H140" s="52" t="s">
        <v>21</v>
      </c>
      <c r="I140" s="52">
        <v>12</v>
      </c>
      <c r="J140" s="52">
        <v>4</v>
      </c>
      <c r="K140" s="57" t="s">
        <v>21</v>
      </c>
      <c r="L140" s="57">
        <v>14</v>
      </c>
      <c r="M140" s="57">
        <v>7</v>
      </c>
      <c r="N140" s="57">
        <v>0</v>
      </c>
      <c r="O140" s="57">
        <v>45</v>
      </c>
      <c r="P140" s="57">
        <v>43</v>
      </c>
      <c r="Q140" s="57">
        <v>48</v>
      </c>
      <c r="R140" s="57">
        <v>62</v>
      </c>
      <c r="S140" s="57">
        <v>4</v>
      </c>
      <c r="T140" s="57"/>
      <c r="U140" s="57"/>
      <c r="V140" s="57"/>
      <c r="W140" s="1">
        <f>SUM(X140:BD140)*(num_weapons_base+num_weapons_mod*COUNT(X140:BD140))</f>
        <v>234.71804392814371</v>
      </c>
      <c r="X140" s="53">
        <f aca="true" t="shared" si="49" ref="X140:AG140">VLOOKUP(X139,weapon,2,FALSE)</f>
        <v>21.826347305389223</v>
      </c>
      <c r="Y140" s="53">
        <f t="shared" si="49"/>
        <v>21.826347305389223</v>
      </c>
      <c r="Z140" s="53">
        <f t="shared" si="49"/>
        <v>42.9494011976048</v>
      </c>
      <c r="AA140" s="53">
        <f t="shared" si="49"/>
        <v>42.9494011976048</v>
      </c>
      <c r="AB140" s="53">
        <f t="shared" si="49"/>
        <v>7.17255</v>
      </c>
      <c r="AC140" s="53">
        <f t="shared" si="49"/>
        <v>7.17255</v>
      </c>
      <c r="AD140" s="53">
        <f t="shared" si="49"/>
        <v>7.17255</v>
      </c>
      <c r="AE140" s="53">
        <f t="shared" si="49"/>
        <v>7.17255</v>
      </c>
      <c r="AF140" s="53">
        <f t="shared" si="49"/>
        <v>7.17255</v>
      </c>
      <c r="AG140" s="53">
        <f t="shared" si="49"/>
        <v>7.17255</v>
      </c>
      <c r="AH140" s="53"/>
      <c r="AI140" s="53"/>
      <c r="AJ140" s="53"/>
      <c r="AK140" s="53"/>
      <c r="AL140" s="53"/>
      <c r="AM140" s="53"/>
      <c r="AN140" s="53"/>
      <c r="AO140" s="53"/>
      <c r="AP140" s="53"/>
      <c r="AQ140" s="53"/>
      <c r="AR140" s="53"/>
      <c r="AS140" s="53"/>
      <c r="AT140" s="53"/>
      <c r="AU140" s="53"/>
      <c r="AV140" s="53"/>
      <c r="AW140" s="53"/>
      <c r="AX140" s="53"/>
      <c r="AY140" s="43"/>
      <c r="AZ140" s="43"/>
      <c r="BA140" s="43"/>
      <c r="BB140" s="43"/>
      <c r="BC140" s="43"/>
      <c r="BD140" s="43"/>
      <c r="BE140" s="43"/>
      <c r="BF140" s="43"/>
      <c r="BG140" s="43"/>
    </row>
    <row r="141" spans="2:59" ht="12.75">
      <c r="B141" s="12"/>
      <c r="C141" s="42"/>
      <c r="D141" s="42"/>
      <c r="E141" s="57"/>
      <c r="F141" s="57"/>
      <c r="G141" s="58"/>
      <c r="H141" s="5"/>
      <c r="I141" s="5"/>
      <c r="J141" s="5"/>
      <c r="K141" s="57"/>
      <c r="L141" s="57"/>
      <c r="M141" s="57"/>
      <c r="N141" s="57"/>
      <c r="O141" s="57"/>
      <c r="P141" s="57"/>
      <c r="Q141" s="57"/>
      <c r="R141" s="57"/>
      <c r="S141" s="57"/>
      <c r="T141" s="57"/>
      <c r="U141" s="57"/>
      <c r="V141" s="57"/>
      <c r="W141" s="1"/>
      <c r="X141" s="43" t="s">
        <v>541</v>
      </c>
      <c r="Y141" s="43" t="s">
        <v>541</v>
      </c>
      <c r="Z141" s="43" t="s">
        <v>284</v>
      </c>
      <c r="AA141" s="43" t="s">
        <v>284</v>
      </c>
      <c r="AB141" s="53"/>
      <c r="AC141" s="53"/>
      <c r="AD141" s="53"/>
      <c r="AE141" s="53"/>
      <c r="AF141" s="53"/>
      <c r="AG141" s="5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row>
    <row r="142" spans="2:59" ht="12.75">
      <c r="B142" s="64" t="s">
        <v>1016</v>
      </c>
      <c r="C142" s="1">
        <f>E142*(VLOOKUP(D142,Race,2,FALSE)*(N142*init_bonus+O142+P142*front+Q142*Back+R142+S142*armour+SUM(T142:V142))*(Thrust_base+(I142/J142)/Thrust_div)*POWER(W142,Weapon_power))/(POWER(signature,(L142-M142)))*IF(K142="Y",gravitic,1)*IF(H142="Y",agile,1)/divisor</f>
        <v>61.16847941563456</v>
      </c>
      <c r="D142" s="1" t="s">
        <v>537</v>
      </c>
      <c r="E142" s="57">
        <v>1</v>
      </c>
      <c r="F142" s="57">
        <v>0</v>
      </c>
      <c r="G142" s="58">
        <f>F142*C$152</f>
        <v>0</v>
      </c>
      <c r="H142" s="52" t="s">
        <v>21</v>
      </c>
      <c r="I142" s="52">
        <v>6</v>
      </c>
      <c r="J142" s="52">
        <v>2</v>
      </c>
      <c r="K142" s="57" t="s">
        <v>21</v>
      </c>
      <c r="L142" s="57">
        <v>6</v>
      </c>
      <c r="M142" s="57">
        <v>6</v>
      </c>
      <c r="N142" s="57">
        <v>12</v>
      </c>
      <c r="O142" s="57">
        <v>60</v>
      </c>
      <c r="P142" s="57">
        <v>0</v>
      </c>
      <c r="Q142" s="57">
        <v>0</v>
      </c>
      <c r="R142" s="57">
        <v>0</v>
      </c>
      <c r="S142" s="57">
        <v>2</v>
      </c>
      <c r="T142" s="57"/>
      <c r="U142" s="57"/>
      <c r="V142" s="57"/>
      <c r="W142" s="1">
        <f>SUM(X142:BD142)*(num_weapons_base+num_weapons_mod*COUNT(X142:BD142))</f>
        <v>66.41812196407186</v>
      </c>
      <c r="X142" s="53">
        <f>VLOOKUP(X141,weapon,2,FALSE)</f>
        <v>21.826347305389223</v>
      </c>
      <c r="Y142" s="53">
        <f>VLOOKUP(Y141,weapon,2,FALSE)</f>
        <v>21.826347305389223</v>
      </c>
      <c r="Z142" s="53">
        <f>VLOOKUP(Z141,weapon,2,FALSE)</f>
        <v>7.8246</v>
      </c>
      <c r="AA142" s="53">
        <f>VLOOKUP(AA141,weapon,2,FALSE)</f>
        <v>7.8246</v>
      </c>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43"/>
      <c r="AZ142" s="43"/>
      <c r="BA142" s="43"/>
      <c r="BB142" s="43"/>
      <c r="BC142" s="43"/>
      <c r="BD142" s="43"/>
      <c r="BE142" s="43"/>
      <c r="BF142" s="43"/>
      <c r="BG142" s="43"/>
    </row>
    <row r="143" spans="2:59" ht="12.75">
      <c r="B143" s="12"/>
      <c r="C143" s="42"/>
      <c r="D143" s="42"/>
      <c r="E143" s="57"/>
      <c r="F143" s="57"/>
      <c r="G143" s="58"/>
      <c r="H143" s="5"/>
      <c r="I143" s="5"/>
      <c r="J143" s="5"/>
      <c r="K143" s="57"/>
      <c r="L143" s="57"/>
      <c r="M143" s="57"/>
      <c r="N143" s="57"/>
      <c r="O143" s="57"/>
      <c r="P143" s="57"/>
      <c r="Q143" s="57"/>
      <c r="R143" s="57"/>
      <c r="S143" s="57"/>
      <c r="T143" s="57"/>
      <c r="U143" s="57"/>
      <c r="V143" s="57"/>
      <c r="W143" s="1"/>
      <c r="X143" s="43" t="s">
        <v>347</v>
      </c>
      <c r="Y143" s="43" t="s">
        <v>347</v>
      </c>
      <c r="Z143" s="43" t="s">
        <v>284</v>
      </c>
      <c r="AA143" s="43" t="s">
        <v>284</v>
      </c>
      <c r="AB143" s="53"/>
      <c r="AC143" s="53"/>
      <c r="AD143" s="53"/>
      <c r="AE143" s="53"/>
      <c r="AF143" s="53"/>
      <c r="AG143" s="5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row>
    <row r="144" spans="2:59" ht="12.75">
      <c r="B144" s="64" t="s">
        <v>1015</v>
      </c>
      <c r="C144" s="1">
        <f>E144*(VLOOKUP(D144,Race,2,FALSE)*(N144*init_bonus+O144+P144*front+Q144*Back+R144+S144*armour+SUM(T144:V144))*(Thrust_base+(I144/J144)/Thrust_div)*POWER(W144,Weapon_power))/(POWER(signature,(L144-M144)))*IF(K144="Y",gravitic,1)*IF(H144="Y",agile,1)/divisor</f>
        <v>107.59959613122257</v>
      </c>
      <c r="D144" s="1" t="s">
        <v>537</v>
      </c>
      <c r="E144" s="57">
        <v>1</v>
      </c>
      <c r="F144" s="57">
        <v>0</v>
      </c>
      <c r="G144" s="58">
        <f>F144*C$152</f>
        <v>0</v>
      </c>
      <c r="H144" s="52" t="s">
        <v>21</v>
      </c>
      <c r="I144" s="52">
        <v>6</v>
      </c>
      <c r="J144" s="52">
        <v>2</v>
      </c>
      <c r="K144" s="57" t="s">
        <v>21</v>
      </c>
      <c r="L144" s="57">
        <v>6</v>
      </c>
      <c r="M144" s="57">
        <v>6</v>
      </c>
      <c r="N144" s="57">
        <v>12</v>
      </c>
      <c r="O144" s="57">
        <v>60</v>
      </c>
      <c r="P144" s="57">
        <v>0</v>
      </c>
      <c r="Q144" s="57">
        <v>0</v>
      </c>
      <c r="R144" s="57">
        <v>0</v>
      </c>
      <c r="S144" s="57">
        <v>2</v>
      </c>
      <c r="T144" s="57"/>
      <c r="U144" s="57"/>
      <c r="V144" s="57"/>
      <c r="W144" s="1">
        <f>SUM(X144:BD144)*(num_weapons_base+num_weapons_mod*COUNT(X144:BD144))</f>
        <v>113.73376268263475</v>
      </c>
      <c r="X144" s="53">
        <f>VLOOKUP(X143,weapon,2,FALSE)</f>
        <v>42.9494011976048</v>
      </c>
      <c r="Y144" s="53">
        <f>VLOOKUP(Y143,weapon,2,FALSE)</f>
        <v>42.9494011976048</v>
      </c>
      <c r="Z144" s="53">
        <f>VLOOKUP(Z143,weapon,2,FALSE)</f>
        <v>7.8246</v>
      </c>
      <c r="AA144" s="53">
        <f>VLOOKUP(AA143,weapon,2,FALSE)</f>
        <v>7.8246</v>
      </c>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43"/>
      <c r="AZ144" s="43"/>
      <c r="BA144" s="43"/>
      <c r="BB144" s="43"/>
      <c r="BC144" s="43"/>
      <c r="BD144" s="43"/>
      <c r="BE144" s="43"/>
      <c r="BF144" s="43"/>
      <c r="BG144" s="43"/>
    </row>
    <row r="145" spans="2:59" ht="12.75">
      <c r="B145" s="12"/>
      <c r="C145" s="42"/>
      <c r="D145" s="42"/>
      <c r="E145" s="57"/>
      <c r="F145" s="57"/>
      <c r="G145" s="58"/>
      <c r="H145" s="5"/>
      <c r="I145" s="5"/>
      <c r="J145" s="5"/>
      <c r="K145" s="57"/>
      <c r="L145" s="57"/>
      <c r="M145" s="57"/>
      <c r="N145" s="57"/>
      <c r="O145" s="57"/>
      <c r="P145" s="57"/>
      <c r="Q145" s="57"/>
      <c r="R145" s="57"/>
      <c r="S145" s="57"/>
      <c r="T145" s="57"/>
      <c r="U145" s="57"/>
      <c r="V145" s="57"/>
      <c r="W145" s="1"/>
      <c r="X145" s="43" t="s">
        <v>541</v>
      </c>
      <c r="Y145" s="43" t="s">
        <v>541</v>
      </c>
      <c r="Z145" s="43" t="s">
        <v>347</v>
      </c>
      <c r="AA145" s="43" t="s">
        <v>347</v>
      </c>
      <c r="AB145" s="43" t="s">
        <v>286</v>
      </c>
      <c r="AC145" s="43" t="s">
        <v>286</v>
      </c>
      <c r="AD145" s="43" t="s">
        <v>286</v>
      </c>
      <c r="AE145" s="43" t="s">
        <v>286</v>
      </c>
      <c r="AF145" s="43" t="s">
        <v>286</v>
      </c>
      <c r="AG145" s="43" t="s">
        <v>286</v>
      </c>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row>
    <row r="146" spans="2:59" ht="12.75">
      <c r="B146" s="64" t="s">
        <v>542</v>
      </c>
      <c r="C146" s="1">
        <f>E146*(VLOOKUP(D146,Race,2,FALSE)*(N146*init_bonus+O146+P146*front+Q146*Back+R146+S146*armour+SUM(T146:V146))*(Thrust_base+(I146/J146)/Thrust_div)*POWER(W146,Weapon_power))/(POWER(signature,(L146-M146)))*IF(K146="Y",gravitic,1)*IF(H146="Y",agile,1)/divisor</f>
        <v>214.52253955105775</v>
      </c>
      <c r="D146" s="1" t="s">
        <v>537</v>
      </c>
      <c r="E146" s="57">
        <v>1</v>
      </c>
      <c r="F146" s="57">
        <v>24</v>
      </c>
      <c r="G146" s="58">
        <f>F146*C$152+12*C154</f>
        <v>155.40299031335962</v>
      </c>
      <c r="H146" s="52" t="s">
        <v>21</v>
      </c>
      <c r="I146" s="52">
        <v>12</v>
      </c>
      <c r="J146" s="52">
        <v>4</v>
      </c>
      <c r="K146" s="57" t="s">
        <v>21</v>
      </c>
      <c r="L146" s="57">
        <v>14</v>
      </c>
      <c r="M146" s="57">
        <v>7</v>
      </c>
      <c r="N146" s="57">
        <v>0</v>
      </c>
      <c r="O146" s="57">
        <v>45</v>
      </c>
      <c r="P146" s="57">
        <v>43</v>
      </c>
      <c r="Q146" s="57">
        <v>48</v>
      </c>
      <c r="R146" s="57">
        <v>62</v>
      </c>
      <c r="S146" s="57">
        <v>4</v>
      </c>
      <c r="T146" s="57"/>
      <c r="U146" s="57"/>
      <c r="V146" s="57"/>
      <c r="W146" s="1">
        <f>SUM(X146:BD146)*(num_weapons_base+num_weapons_mod*COUNT(X146:BD146))</f>
        <v>234.71804392814371</v>
      </c>
      <c r="X146" s="53">
        <f aca="true" t="shared" si="50" ref="X146:AG146">VLOOKUP(X145,weapon,2,FALSE)</f>
        <v>21.826347305389223</v>
      </c>
      <c r="Y146" s="53">
        <f t="shared" si="50"/>
        <v>21.826347305389223</v>
      </c>
      <c r="Z146" s="53">
        <f t="shared" si="50"/>
        <v>42.9494011976048</v>
      </c>
      <c r="AA146" s="53">
        <f t="shared" si="50"/>
        <v>42.9494011976048</v>
      </c>
      <c r="AB146" s="53">
        <f t="shared" si="50"/>
        <v>7.17255</v>
      </c>
      <c r="AC146" s="53">
        <f t="shared" si="50"/>
        <v>7.17255</v>
      </c>
      <c r="AD146" s="53">
        <f t="shared" si="50"/>
        <v>7.17255</v>
      </c>
      <c r="AE146" s="53">
        <f t="shared" si="50"/>
        <v>7.17255</v>
      </c>
      <c r="AF146" s="53">
        <f t="shared" si="50"/>
        <v>7.17255</v>
      </c>
      <c r="AG146" s="53">
        <f t="shared" si="50"/>
        <v>7.17255</v>
      </c>
      <c r="AH146" s="53"/>
      <c r="AI146" s="53"/>
      <c r="AJ146" s="53"/>
      <c r="AK146" s="53"/>
      <c r="AL146" s="53"/>
      <c r="AM146" s="53"/>
      <c r="AN146" s="53"/>
      <c r="AO146" s="53"/>
      <c r="AP146" s="53"/>
      <c r="AQ146" s="53"/>
      <c r="AR146" s="53"/>
      <c r="AS146" s="53"/>
      <c r="AT146" s="53"/>
      <c r="AU146" s="53"/>
      <c r="AV146" s="53"/>
      <c r="AW146" s="53"/>
      <c r="AX146" s="53"/>
      <c r="AY146" s="43"/>
      <c r="AZ146" s="43"/>
      <c r="BA146" s="43"/>
      <c r="BB146" s="43"/>
      <c r="BC146" s="43"/>
      <c r="BD146" s="43"/>
      <c r="BE146" s="43"/>
      <c r="BF146" s="43"/>
      <c r="BG146" s="43"/>
    </row>
    <row r="147" spans="2:59" ht="12.75">
      <c r="B147" s="12"/>
      <c r="C147" s="42"/>
      <c r="D147" s="42"/>
      <c r="E147" s="57"/>
      <c r="F147" s="57"/>
      <c r="G147" s="58"/>
      <c r="H147" s="5"/>
      <c r="I147" s="5"/>
      <c r="J147" s="5"/>
      <c r="K147" s="57"/>
      <c r="L147" s="57"/>
      <c r="M147" s="57"/>
      <c r="N147" s="57"/>
      <c r="O147" s="57"/>
      <c r="P147" s="57"/>
      <c r="Q147" s="57"/>
      <c r="R147" s="57"/>
      <c r="S147" s="57"/>
      <c r="T147" s="57"/>
      <c r="U147" s="57"/>
      <c r="V147" s="57"/>
      <c r="W147" s="1"/>
      <c r="X147" s="43"/>
      <c r="Y147" s="43"/>
      <c r="Z147" s="43"/>
      <c r="AA147" s="43"/>
      <c r="AB147" s="43"/>
      <c r="AC147" s="43"/>
      <c r="AD147" s="43"/>
      <c r="AE147" s="43"/>
      <c r="AF147" s="43"/>
      <c r="AG147" s="43"/>
      <c r="AH147" s="59"/>
      <c r="AI147" s="59"/>
      <c r="AJ147" s="59"/>
      <c r="AK147" s="59"/>
      <c r="AL147" s="59"/>
      <c r="AM147" s="59"/>
      <c r="AN147" s="59"/>
      <c r="AO147" s="59"/>
      <c r="AP147" s="59"/>
      <c r="AQ147" s="59"/>
      <c r="AR147" s="59"/>
      <c r="AS147" s="59"/>
      <c r="AT147" s="59"/>
      <c r="AU147" s="59"/>
      <c r="AV147" s="59"/>
      <c r="AW147" s="59"/>
      <c r="AX147" s="59"/>
      <c r="AY147" s="43"/>
      <c r="AZ147" s="43"/>
      <c r="BA147" s="43"/>
      <c r="BB147" s="43"/>
      <c r="BC147" s="43"/>
      <c r="BD147" s="43"/>
      <c r="BE147" s="43"/>
      <c r="BF147" s="43"/>
      <c r="BG147" s="43"/>
    </row>
    <row r="148" spans="2:59" ht="12.75">
      <c r="B148" s="64" t="s">
        <v>936</v>
      </c>
      <c r="C148" s="1" t="e">
        <f>E148*(VLOOKUP(D148,Race,2,FALSE)*(N148*init_bonus+O148+P148*front+Q148*Back+R148+S148*armour+SUM(T148:V148))*(Thrust_base+(I148/J148)/Thrust_div)*POWER(W148,Weapon_power))/(POWER(signature,(L148-M148)))*IF(K148="Y",gravitic,1)*IF(H148="Y",agile,1)/divisor</f>
        <v>#N/A</v>
      </c>
      <c r="D148" s="1" t="s">
        <v>537</v>
      </c>
      <c r="E148" s="57">
        <v>1</v>
      </c>
      <c r="F148" s="57">
        <v>6</v>
      </c>
      <c r="G148" s="58">
        <f>F148*C$152</f>
        <v>21.866260999481288</v>
      </c>
      <c r="H148" s="52" t="s">
        <v>21</v>
      </c>
      <c r="I148" s="52">
        <v>12</v>
      </c>
      <c r="J148" s="52">
        <v>3</v>
      </c>
      <c r="K148" s="57" t="s">
        <v>21</v>
      </c>
      <c r="L148" s="57">
        <v>9</v>
      </c>
      <c r="M148" s="57">
        <v>9</v>
      </c>
      <c r="N148" s="57">
        <v>2</v>
      </c>
      <c r="O148" s="57">
        <v>35</v>
      </c>
      <c r="P148" s="57">
        <v>40</v>
      </c>
      <c r="Q148" s="57">
        <v>38</v>
      </c>
      <c r="R148" s="57">
        <v>48</v>
      </c>
      <c r="S148" s="57">
        <v>4</v>
      </c>
      <c r="T148" s="57"/>
      <c r="U148" s="57"/>
      <c r="V148" s="57"/>
      <c r="W148" s="1" t="e">
        <f>SUM(X148:BD148)*(num_weapons_base+num_weapons_mod*COUNT(X148:BD148))</f>
        <v>#N/A</v>
      </c>
      <c r="X148" s="60" t="e">
        <f aca="true" t="shared" si="51" ref="X148:AE148">VLOOKUP(X147,weapon,2,FALSE)</f>
        <v>#N/A</v>
      </c>
      <c r="Y148" s="60" t="e">
        <f t="shared" si="51"/>
        <v>#N/A</v>
      </c>
      <c r="Z148" s="60" t="e">
        <f t="shared" si="51"/>
        <v>#N/A</v>
      </c>
      <c r="AA148" s="60" t="e">
        <f t="shared" si="51"/>
        <v>#N/A</v>
      </c>
      <c r="AB148" s="60" t="e">
        <f t="shared" si="51"/>
        <v>#N/A</v>
      </c>
      <c r="AC148" s="60" t="e">
        <f t="shared" si="51"/>
        <v>#N/A</v>
      </c>
      <c r="AD148" s="60" t="e">
        <f t="shared" si="51"/>
        <v>#N/A</v>
      </c>
      <c r="AE148" s="60" t="e">
        <f t="shared" si="51"/>
        <v>#N/A</v>
      </c>
      <c r="AF148" s="60"/>
      <c r="AG148" s="60"/>
      <c r="AH148" s="60"/>
      <c r="AI148" s="60"/>
      <c r="AJ148" s="60"/>
      <c r="AK148" s="60"/>
      <c r="AL148" s="60"/>
      <c r="AM148" s="60"/>
      <c r="AN148" s="60"/>
      <c r="AO148" s="60"/>
      <c r="AP148" s="60"/>
      <c r="AQ148" s="60"/>
      <c r="AR148" s="60"/>
      <c r="AS148" s="60"/>
      <c r="AT148" s="60"/>
      <c r="AU148" s="60"/>
      <c r="AV148" s="60"/>
      <c r="AW148" s="60"/>
      <c r="AX148" s="60"/>
      <c r="AY148" s="43"/>
      <c r="AZ148" s="43"/>
      <c r="BA148" s="43"/>
      <c r="BB148" s="43"/>
      <c r="BC148" s="43"/>
      <c r="BD148" s="43"/>
      <c r="BE148" s="43"/>
      <c r="BF148" s="43"/>
      <c r="BG148" s="43"/>
    </row>
    <row r="149" spans="2:59" ht="12.75">
      <c r="B149" s="12"/>
      <c r="C149" s="42"/>
      <c r="D149" s="42"/>
      <c r="E149" s="57"/>
      <c r="F149" s="57"/>
      <c r="G149" s="58"/>
      <c r="H149" s="5"/>
      <c r="I149" s="5"/>
      <c r="J149" s="5"/>
      <c r="K149" s="57"/>
      <c r="L149" s="57"/>
      <c r="M149" s="57"/>
      <c r="N149" s="57"/>
      <c r="O149" s="57"/>
      <c r="P149" s="57"/>
      <c r="Q149" s="57"/>
      <c r="R149" s="57"/>
      <c r="S149" s="57"/>
      <c r="T149" s="57"/>
      <c r="U149" s="57"/>
      <c r="V149" s="57"/>
      <c r="W149" s="1"/>
      <c r="X149" s="43" t="s">
        <v>88</v>
      </c>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43"/>
      <c r="AZ149" s="43"/>
      <c r="BA149" s="43"/>
      <c r="BB149" s="43"/>
      <c r="BC149" s="43"/>
      <c r="BD149" s="43"/>
      <c r="BE149" s="43"/>
      <c r="BF149" s="43"/>
      <c r="BG149" s="43"/>
    </row>
    <row r="150" spans="2:59" ht="12.75">
      <c r="B150" s="64" t="s">
        <v>683</v>
      </c>
      <c r="C150" s="1" t="e">
        <f>E150*(VLOOKUP(D150,Race,2,FALSE)*(N150*init_bonus+O150+P150*front+Q150*Back+R150+S150*armour+SUM(T150:V150))*(Thrust_base+(I150/J150)/Thrust_div)*POWER(W150,Weapon_power))/(POWER(signature,(L150-M150)))*IF(K150="Y",gravitic,1)*IF(H150="Y",agile,1)/divisor</f>
        <v>#N/A</v>
      </c>
      <c r="D150" s="1" t="s">
        <v>537</v>
      </c>
      <c r="E150" s="57">
        <v>1</v>
      </c>
      <c r="F150" s="57">
        <v>6</v>
      </c>
      <c r="G150" s="58">
        <f>F150*C$152</f>
        <v>21.866260999481288</v>
      </c>
      <c r="H150" s="52" t="s">
        <v>21</v>
      </c>
      <c r="I150" s="52">
        <v>12</v>
      </c>
      <c r="J150" s="52">
        <v>3</v>
      </c>
      <c r="K150" s="57" t="s">
        <v>21</v>
      </c>
      <c r="L150" s="57">
        <v>9</v>
      </c>
      <c r="M150" s="57">
        <v>9</v>
      </c>
      <c r="N150" s="57">
        <v>2</v>
      </c>
      <c r="O150" s="57">
        <v>35</v>
      </c>
      <c r="P150" s="57">
        <v>40</v>
      </c>
      <c r="Q150" s="57">
        <v>38</v>
      </c>
      <c r="R150" s="57">
        <v>48</v>
      </c>
      <c r="S150" s="57">
        <v>4</v>
      </c>
      <c r="T150" s="57"/>
      <c r="U150" s="57"/>
      <c r="V150" s="57"/>
      <c r="W150" s="1" t="e">
        <f>SUM(X150:BD150)*(num_weapons_base+num_weapons_mod*COUNT(X150:BD150))</f>
        <v>#N/A</v>
      </c>
      <c r="X150" s="60">
        <f aca="true" t="shared" si="52" ref="X150:AE150">VLOOKUP(X149,weapon,2,FALSE)</f>
        <v>3.75375</v>
      </c>
      <c r="Y150" s="60" t="e">
        <f t="shared" si="52"/>
        <v>#N/A</v>
      </c>
      <c r="Z150" s="60" t="e">
        <f t="shared" si="52"/>
        <v>#N/A</v>
      </c>
      <c r="AA150" s="60" t="e">
        <f t="shared" si="52"/>
        <v>#N/A</v>
      </c>
      <c r="AB150" s="60" t="e">
        <f t="shared" si="52"/>
        <v>#N/A</v>
      </c>
      <c r="AC150" s="60" t="e">
        <f t="shared" si="52"/>
        <v>#N/A</v>
      </c>
      <c r="AD150" s="60" t="e">
        <f t="shared" si="52"/>
        <v>#N/A</v>
      </c>
      <c r="AE150" s="60" t="e">
        <f t="shared" si="52"/>
        <v>#N/A</v>
      </c>
      <c r="AF150" s="60"/>
      <c r="AG150" s="60"/>
      <c r="AH150" s="60"/>
      <c r="AI150" s="60"/>
      <c r="AJ150" s="60"/>
      <c r="AK150" s="60"/>
      <c r="AL150" s="60"/>
      <c r="AM150" s="60"/>
      <c r="AN150" s="60"/>
      <c r="AO150" s="60"/>
      <c r="AP150" s="60"/>
      <c r="AQ150" s="60"/>
      <c r="AR150" s="60"/>
      <c r="AS150" s="60"/>
      <c r="AT150" s="60"/>
      <c r="AU150" s="60"/>
      <c r="AV150" s="60"/>
      <c r="AW150" s="60"/>
      <c r="AX150" s="60"/>
      <c r="AY150" s="43"/>
      <c r="AZ150" s="43"/>
      <c r="BA150" s="43"/>
      <c r="BB150" s="43"/>
      <c r="BC150" s="43"/>
      <c r="BD150" s="43"/>
      <c r="BE150" s="43"/>
      <c r="BF150" s="43"/>
      <c r="BG150" s="43"/>
    </row>
    <row r="151" spans="2:59" ht="12.75">
      <c r="B151" s="12"/>
      <c r="C151" s="42"/>
      <c r="D151" s="42"/>
      <c r="E151" s="57"/>
      <c r="F151" s="57"/>
      <c r="G151" s="58"/>
      <c r="H151" s="5"/>
      <c r="I151" s="5"/>
      <c r="J151" s="5"/>
      <c r="K151" s="57"/>
      <c r="L151" s="57"/>
      <c r="M151" s="57"/>
      <c r="N151" s="57"/>
      <c r="O151" s="57"/>
      <c r="P151" s="57"/>
      <c r="Q151" s="57"/>
      <c r="R151" s="57"/>
      <c r="S151" s="57"/>
      <c r="T151" s="57"/>
      <c r="U151" s="57"/>
      <c r="V151" s="57"/>
      <c r="W151" s="1"/>
      <c r="X151" s="43" t="s">
        <v>88</v>
      </c>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43"/>
      <c r="AZ151" s="43"/>
      <c r="BA151" s="43"/>
      <c r="BB151" s="43"/>
      <c r="BC151" s="43"/>
      <c r="BD151" s="43"/>
      <c r="BE151" s="43"/>
      <c r="BF151" s="43"/>
      <c r="BG151" s="43"/>
    </row>
    <row r="152" spans="2:59" ht="12.75">
      <c r="B152" s="12" t="s">
        <v>88</v>
      </c>
      <c r="C152" s="1">
        <f>E152*(VLOOKUP(D152,Race,2,FALSE)*(N152*init_bonus+O152+P152*front+Q152*Back+R152+S152*armour+SUM(T152:V152))*(Thrust_base+(I152/J152)/Thrust_div)*POWER(W152,Weapon_power))/(POWER(signature,(L152-M152)))*IF(K152="Y",gravitic,1)*IF(H152="Y",agile,1)/divisor</f>
        <v>3.644376833246881</v>
      </c>
      <c r="D152" s="1" t="s">
        <v>537</v>
      </c>
      <c r="E152" s="57">
        <v>1</v>
      </c>
      <c r="F152" s="57">
        <v>0</v>
      </c>
      <c r="G152" s="58">
        <v>0</v>
      </c>
      <c r="H152" s="52" t="s">
        <v>2</v>
      </c>
      <c r="I152" s="52">
        <v>10</v>
      </c>
      <c r="J152" s="52">
        <v>1</v>
      </c>
      <c r="K152" s="57" t="s">
        <v>21</v>
      </c>
      <c r="L152" s="57">
        <v>-4</v>
      </c>
      <c r="M152" s="57">
        <v>3</v>
      </c>
      <c r="N152" s="57">
        <v>16</v>
      </c>
      <c r="O152" s="57">
        <v>4</v>
      </c>
      <c r="P152" s="57">
        <v>0</v>
      </c>
      <c r="Q152" s="57">
        <v>0</v>
      </c>
      <c r="R152" s="57">
        <v>0</v>
      </c>
      <c r="S152" s="57">
        <v>0</v>
      </c>
      <c r="T152" s="57"/>
      <c r="U152" s="57"/>
      <c r="V152" s="57"/>
      <c r="W152" s="1">
        <f>SUM(X152:BD152)*(num_weapons_base+num_weapons_mod*COUNT(X152:BD152))</f>
        <v>3.75375</v>
      </c>
      <c r="X152" s="60">
        <f>VLOOKUP(X149,weapon,2,FALSE)</f>
        <v>3.75375</v>
      </c>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43"/>
      <c r="AZ152" s="43"/>
      <c r="BA152" s="43"/>
      <c r="BB152" s="43"/>
      <c r="BC152" s="43"/>
      <c r="BD152" s="43"/>
      <c r="BE152" s="43"/>
      <c r="BF152" s="43"/>
      <c r="BG152" s="43"/>
    </row>
    <row r="153" spans="2:59" ht="12.75">
      <c r="B153" s="12"/>
      <c r="C153" s="42"/>
      <c r="D153" s="42"/>
      <c r="E153" s="57"/>
      <c r="F153" s="57"/>
      <c r="G153" s="58"/>
      <c r="H153" s="5"/>
      <c r="I153" s="5"/>
      <c r="J153" s="5"/>
      <c r="K153" s="57"/>
      <c r="L153" s="57"/>
      <c r="M153" s="57"/>
      <c r="N153" s="57"/>
      <c r="O153" s="57"/>
      <c r="P153" s="57"/>
      <c r="Q153" s="57"/>
      <c r="R153" s="57"/>
      <c r="S153" s="57"/>
      <c r="T153" s="57"/>
      <c r="U153" s="57"/>
      <c r="V153" s="57"/>
      <c r="W153" s="1"/>
      <c r="X153" s="43" t="s">
        <v>59</v>
      </c>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43"/>
      <c r="AZ153" s="43"/>
      <c r="BA153" s="43"/>
      <c r="BB153" s="43"/>
      <c r="BC153" s="43"/>
      <c r="BD153" s="43"/>
      <c r="BE153" s="43"/>
      <c r="BF153" s="43"/>
      <c r="BG153" s="43"/>
    </row>
    <row r="154" spans="2:59" ht="12.75">
      <c r="B154" s="12" t="s">
        <v>59</v>
      </c>
      <c r="C154" s="1">
        <f>E154*(VLOOKUP(D154,Race,2,FALSE)*(N154*init_bonus+O154+P154*front+Q154*Back+R154+S154*armour+SUM(T154:V154))*(Thrust_base+(I154/J154)/Thrust_div)*POWER(W154,Weapon_power))/(POWER(signature,(L154-M154)))*IF(K154="Y",gravitic,1)*IF(H154="Y",agile,1)/divisor</f>
        <v>5.661495526286207</v>
      </c>
      <c r="D154" s="1" t="s">
        <v>537</v>
      </c>
      <c r="E154" s="57">
        <v>1</v>
      </c>
      <c r="F154" s="57">
        <v>0</v>
      </c>
      <c r="G154" s="58">
        <v>0</v>
      </c>
      <c r="H154" s="52" t="s">
        <v>2</v>
      </c>
      <c r="I154" s="52">
        <v>10</v>
      </c>
      <c r="J154" s="52">
        <v>1</v>
      </c>
      <c r="K154" s="57" t="s">
        <v>21</v>
      </c>
      <c r="L154" s="57">
        <v>-5</v>
      </c>
      <c r="M154" s="57">
        <v>2</v>
      </c>
      <c r="N154" s="57">
        <v>16</v>
      </c>
      <c r="O154" s="57">
        <v>3</v>
      </c>
      <c r="P154" s="57">
        <v>0</v>
      </c>
      <c r="Q154" s="57">
        <v>0</v>
      </c>
      <c r="R154" s="57">
        <v>0</v>
      </c>
      <c r="S154" s="57">
        <v>0</v>
      </c>
      <c r="T154" s="57"/>
      <c r="U154" s="57"/>
      <c r="V154" s="57"/>
      <c r="W154" s="1">
        <f>SUM(X154:BD154)*(num_weapons_base+num_weapons_mod*COUNT(X154:BD154))</f>
        <v>5.791500000000001</v>
      </c>
      <c r="X154" s="60">
        <f>VLOOKUP(X153,weapon,2,FALSE)</f>
        <v>5.791500000000001</v>
      </c>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43"/>
      <c r="AZ154" s="43"/>
      <c r="BA154" s="43"/>
      <c r="BB154" s="43"/>
      <c r="BC154" s="43"/>
      <c r="BD154" s="43"/>
      <c r="BE154" s="43"/>
      <c r="BF154" s="43"/>
      <c r="BG154" s="43"/>
    </row>
    <row r="155" spans="1:59" s="191" customFormat="1" ht="12.75">
      <c r="A155" s="199" t="s">
        <v>543</v>
      </c>
      <c r="B155" s="197"/>
      <c r="C155" s="42"/>
      <c r="D155" s="192"/>
      <c r="E155" s="193"/>
      <c r="F155" s="193"/>
      <c r="G155" s="194"/>
      <c r="H155" s="198"/>
      <c r="I155" s="198"/>
      <c r="J155" s="198"/>
      <c r="K155" s="193"/>
      <c r="L155" s="193"/>
      <c r="M155" s="193"/>
      <c r="N155" s="193"/>
      <c r="O155" s="193"/>
      <c r="P155" s="193"/>
      <c r="Q155" s="193"/>
      <c r="R155" s="193"/>
      <c r="S155" s="193"/>
      <c r="T155" s="193"/>
      <c r="U155" s="193"/>
      <c r="V155" s="193"/>
      <c r="W155" s="190"/>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6"/>
      <c r="AZ155" s="196"/>
      <c r="BA155" s="196"/>
      <c r="BB155" s="196"/>
      <c r="BC155" s="196"/>
      <c r="BD155" s="196"/>
      <c r="BE155" s="196"/>
      <c r="BF155" s="196"/>
      <c r="BG155" s="196"/>
    </row>
    <row r="156" spans="2:59" s="191" customFormat="1" ht="12.75">
      <c r="B156" s="199"/>
      <c r="C156" s="1" t="e">
        <f>E156*(VLOOKUP(D156,Race,2,FALSE)*(N156*init_bonus+O156+P156*front+Q156*Back+R156+S156*armour+SUM(T156:V156))*(Thrust_base+(I156/J156)/Thrust_div)*POWER(W156,Weapon_power))/(POWER(signature,(L156-M156)))*IF(K156="Y",gravitic,1)*IF(H156="Y",agile,1)/divisor</f>
        <v>#N/A</v>
      </c>
      <c r="D156" s="198"/>
      <c r="E156" s="196"/>
      <c r="F156" s="196"/>
      <c r="G156" s="200"/>
      <c r="H156" s="195"/>
      <c r="I156" s="195"/>
      <c r="J156" s="195"/>
      <c r="K156" s="196"/>
      <c r="L156" s="196"/>
      <c r="M156" s="196"/>
      <c r="N156" s="196"/>
      <c r="O156" s="196"/>
      <c r="P156" s="196"/>
      <c r="Q156" s="196"/>
      <c r="R156" s="196"/>
      <c r="S156" s="196"/>
      <c r="T156" s="196" t="s">
        <v>967</v>
      </c>
      <c r="U156" s="196"/>
      <c r="V156" s="196"/>
      <c r="W156" s="190">
        <f>SUM(X156:BD156)*(num_weapons_base+num_weapons_mod*COUNT(X156:BD156))</f>
        <v>0</v>
      </c>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row>
    <row r="157" spans="1:59" s="191" customFormat="1" ht="12.75">
      <c r="A157" s="141"/>
      <c r="B157" s="135"/>
      <c r="C157" s="42"/>
      <c r="D157" s="214"/>
      <c r="E157" s="136"/>
      <c r="F157" s="136"/>
      <c r="G157" s="215"/>
      <c r="H157" s="214"/>
      <c r="I157" s="214"/>
      <c r="J157" s="214"/>
      <c r="K157" s="136"/>
      <c r="L157" s="136"/>
      <c r="M157" s="136"/>
      <c r="N157" s="136"/>
      <c r="O157" s="136"/>
      <c r="P157" s="136"/>
      <c r="Q157" s="136"/>
      <c r="R157" s="136"/>
      <c r="S157" s="136"/>
      <c r="T157" s="136" t="s">
        <v>966</v>
      </c>
      <c r="U157" s="136"/>
      <c r="V157" s="136"/>
      <c r="W157" s="216"/>
      <c r="X157" s="43" t="s">
        <v>221</v>
      </c>
      <c r="Y157" s="43" t="s">
        <v>221</v>
      </c>
      <c r="Z157" s="43" t="s">
        <v>221</v>
      </c>
      <c r="AA157" s="43" t="s">
        <v>221</v>
      </c>
      <c r="AB157" s="43" t="s">
        <v>203</v>
      </c>
      <c r="AC157" s="43" t="s">
        <v>203</v>
      </c>
      <c r="AD157" s="43" t="s">
        <v>203</v>
      </c>
      <c r="AE157" s="43" t="s">
        <v>203</v>
      </c>
      <c r="AF157" s="43" t="s">
        <v>306</v>
      </c>
      <c r="AG157" s="43" t="s">
        <v>306</v>
      </c>
      <c r="AH157" s="43" t="s">
        <v>306</v>
      </c>
      <c r="AI157" s="43" t="s">
        <v>306</v>
      </c>
      <c r="AJ157" s="43" t="s">
        <v>306</v>
      </c>
      <c r="AK157" s="43" t="s">
        <v>306</v>
      </c>
      <c r="AL157" s="43" t="s">
        <v>306</v>
      </c>
      <c r="AM157" s="43" t="s">
        <v>306</v>
      </c>
      <c r="AN157" s="43" t="s">
        <v>306</v>
      </c>
      <c r="AO157" s="43" t="s">
        <v>306</v>
      </c>
      <c r="AP157" s="43" t="s">
        <v>306</v>
      </c>
      <c r="AQ157" s="43" t="s">
        <v>306</v>
      </c>
      <c r="AR157" s="43" t="s">
        <v>306</v>
      </c>
      <c r="AS157" s="43" t="s">
        <v>306</v>
      </c>
      <c r="AT157" s="43" t="s">
        <v>306</v>
      </c>
      <c r="AU157" s="43" t="s">
        <v>306</v>
      </c>
      <c r="AV157" s="43" t="s">
        <v>306</v>
      </c>
      <c r="AW157" s="43" t="s">
        <v>306</v>
      </c>
      <c r="AX157" s="43" t="s">
        <v>306</v>
      </c>
      <c r="AY157" s="43"/>
      <c r="AZ157" s="43"/>
      <c r="BA157" s="43"/>
      <c r="BB157" s="43"/>
      <c r="BC157" s="43"/>
      <c r="BD157" s="43"/>
      <c r="BE157" s="43"/>
      <c r="BF157" s="43"/>
      <c r="BG157" s="43"/>
    </row>
    <row r="158" spans="2:59" ht="12.75">
      <c r="B158" s="12" t="s">
        <v>544</v>
      </c>
      <c r="C158" s="1">
        <f>E158*(VLOOKUP(D158,Race,2,FALSE)*(N158*init_bonus+O158+P158*front+Q158*Back+R158+S158*armour+SUM(T158:V158))*(Thrust_base+(I158/J158)/Thrust_div)*POWER(W158,Weapon_power))/(POWER(signature,(L158-M158)))*IF(K158="Y",gravitic,1)*IF(H158="Y",agile,1)/divisor</f>
        <v>249.83493594451232</v>
      </c>
      <c r="D158" s="1" t="s">
        <v>543</v>
      </c>
      <c r="E158" s="57">
        <v>1</v>
      </c>
      <c r="F158" s="57"/>
      <c r="G158" s="58">
        <v>0</v>
      </c>
      <c r="H158" s="52" t="s">
        <v>21</v>
      </c>
      <c r="I158" s="52">
        <v>15</v>
      </c>
      <c r="J158" s="52">
        <v>4</v>
      </c>
      <c r="K158" s="57" t="s">
        <v>2</v>
      </c>
      <c r="L158" s="57">
        <v>11</v>
      </c>
      <c r="M158" s="57">
        <v>8</v>
      </c>
      <c r="N158" s="57">
        <v>0</v>
      </c>
      <c r="O158" s="57">
        <v>48</v>
      </c>
      <c r="P158" s="57">
        <v>36</v>
      </c>
      <c r="Q158" s="57">
        <v>36</v>
      </c>
      <c r="R158" s="57">
        <v>50</v>
      </c>
      <c r="S158" s="57">
        <v>5.5</v>
      </c>
      <c r="T158" s="57"/>
      <c r="U158" s="57"/>
      <c r="V158" s="57"/>
      <c r="W158" s="1">
        <f>SUM(X158:BD158)*(num_weapons_base+num_weapons_mod*COUNT(X158:BD158))</f>
        <v>175.8538496</v>
      </c>
      <c r="X158" s="53">
        <f aca="true" t="shared" si="53" ref="X158:AE158">VLOOKUP(X157,weapon,2,FALSE)</f>
        <v>22.101255000000002</v>
      </c>
      <c r="Y158" s="53">
        <f t="shared" si="53"/>
        <v>22.101255000000002</v>
      </c>
      <c r="Z158" s="53">
        <f t="shared" si="53"/>
        <v>22.101255000000002</v>
      </c>
      <c r="AA158" s="53">
        <f t="shared" si="53"/>
        <v>22.101255000000002</v>
      </c>
      <c r="AB158" s="53">
        <f t="shared" si="53"/>
        <v>12.245200000000002</v>
      </c>
      <c r="AC158" s="53">
        <f t="shared" si="53"/>
        <v>12.245200000000002</v>
      </c>
      <c r="AD158" s="53">
        <f t="shared" si="53"/>
        <v>12.245200000000002</v>
      </c>
      <c r="AE158" s="53">
        <f t="shared" si="53"/>
        <v>12.245200000000002</v>
      </c>
      <c r="AF158" s="53"/>
      <c r="AG158" s="53"/>
      <c r="AH158" s="53"/>
      <c r="AI158" s="53"/>
      <c r="AJ158" s="53"/>
      <c r="AK158" s="53"/>
      <c r="AL158" s="53"/>
      <c r="AM158" s="53"/>
      <c r="AN158" s="53"/>
      <c r="AO158" s="53"/>
      <c r="AP158" s="53"/>
      <c r="AQ158" s="53"/>
      <c r="AR158" s="53"/>
      <c r="AS158" s="53"/>
      <c r="AT158" s="53"/>
      <c r="AU158" s="53"/>
      <c r="AV158" s="53"/>
      <c r="AW158" s="53"/>
      <c r="AX158" s="53"/>
      <c r="AY158" s="43"/>
      <c r="AZ158" s="43"/>
      <c r="BA158" s="43"/>
      <c r="BB158" s="43"/>
      <c r="BC158" s="43"/>
      <c r="BD158" s="43"/>
      <c r="BE158" s="43"/>
      <c r="BF158" s="43"/>
      <c r="BG158" s="43"/>
    </row>
    <row r="159" spans="2:59" s="141" customFormat="1" ht="12.75">
      <c r="B159" s="135"/>
      <c r="C159" s="42"/>
      <c r="D159" s="214"/>
      <c r="E159" s="136"/>
      <c r="F159" s="136"/>
      <c r="G159" s="215"/>
      <c r="H159" s="214"/>
      <c r="I159" s="214"/>
      <c r="J159" s="214"/>
      <c r="K159" s="136"/>
      <c r="L159" s="136"/>
      <c r="M159" s="136"/>
      <c r="N159" s="136"/>
      <c r="O159" s="136"/>
      <c r="P159" s="136"/>
      <c r="Q159" s="136"/>
      <c r="R159" s="136"/>
      <c r="S159" s="136"/>
      <c r="T159" s="136"/>
      <c r="U159" s="136"/>
      <c r="V159" s="136"/>
      <c r="W159" s="216"/>
      <c r="X159" s="43" t="s">
        <v>214</v>
      </c>
      <c r="Y159" s="43" t="s">
        <v>214</v>
      </c>
      <c r="Z159" s="43" t="s">
        <v>203</v>
      </c>
      <c r="AA159" s="43" t="s">
        <v>203</v>
      </c>
      <c r="AB159" s="43" t="s">
        <v>203</v>
      </c>
      <c r="AC159" s="43" t="s">
        <v>203</v>
      </c>
      <c r="AD159" s="43"/>
      <c r="AE159" s="43"/>
      <c r="AF159" s="53"/>
      <c r="AG159" s="53"/>
      <c r="AH159" s="53"/>
      <c r="AI159" s="53"/>
      <c r="AJ159" s="53"/>
      <c r="AK159" s="53"/>
      <c r="AL159" s="53"/>
      <c r="AM159" s="53"/>
      <c r="AN159" s="53"/>
      <c r="AO159" s="53"/>
      <c r="AP159" s="53"/>
      <c r="AQ159" s="53"/>
      <c r="AR159" s="53"/>
      <c r="AS159" s="53"/>
      <c r="AT159" s="53"/>
      <c r="AU159" s="53"/>
      <c r="AV159" s="53"/>
      <c r="AW159" s="53"/>
      <c r="AX159" s="53"/>
      <c r="AY159" s="43"/>
      <c r="AZ159" s="43"/>
      <c r="BA159" s="43"/>
      <c r="BB159" s="43"/>
      <c r="BC159" s="43"/>
      <c r="BD159" s="43"/>
      <c r="BE159" s="43"/>
      <c r="BF159" s="43"/>
      <c r="BG159" s="43"/>
    </row>
    <row r="160" spans="2:59" ht="12.75">
      <c r="B160" s="12" t="s">
        <v>977</v>
      </c>
      <c r="C160" s="1">
        <f>E160*(VLOOKUP(D160,Race,2,FALSE)*(N160*init_bonus+O160+P160*front+Q160*Back+R160+S160*armour+SUM(T160:V160))*(Thrust_base+(I160/J160)/Thrust_div)*POWER(W160,Weapon_power))/(POWER(signature,(L160-M160)))*IF(K160="Y",gravitic,1)*IF(H160="Y",agile,1)/divisor</f>
        <v>338.29034816931505</v>
      </c>
      <c r="D160" s="1" t="s">
        <v>543</v>
      </c>
      <c r="E160" s="57">
        <v>1</v>
      </c>
      <c r="F160" s="57"/>
      <c r="G160" s="58">
        <v>0</v>
      </c>
      <c r="H160" s="52" t="s">
        <v>21</v>
      </c>
      <c r="I160" s="52">
        <v>15</v>
      </c>
      <c r="J160" s="52">
        <v>4</v>
      </c>
      <c r="K160" s="57" t="s">
        <v>2</v>
      </c>
      <c r="L160" s="57">
        <v>11</v>
      </c>
      <c r="M160" s="57">
        <v>10</v>
      </c>
      <c r="N160" s="57">
        <v>0</v>
      </c>
      <c r="O160" s="57">
        <v>48</v>
      </c>
      <c r="P160" s="57">
        <v>36</v>
      </c>
      <c r="Q160" s="57">
        <v>36</v>
      </c>
      <c r="R160" s="57">
        <v>50</v>
      </c>
      <c r="S160" s="57">
        <v>5.5</v>
      </c>
      <c r="T160" s="57"/>
      <c r="U160" s="57"/>
      <c r="V160" s="57"/>
      <c r="W160" s="1">
        <f>SUM(X160:BD160)*(num_weapons_base+num_weapons_mod*COUNT(X160:BD160))</f>
        <v>206.3245071360001</v>
      </c>
      <c r="X160" s="53">
        <f aca="true" t="shared" si="54" ref="X160:AC160">VLOOKUP(X159,weapon,2,FALSE)</f>
        <v>61.47814464000003</v>
      </c>
      <c r="Y160" s="53">
        <f t="shared" si="54"/>
        <v>61.47814464000003</v>
      </c>
      <c r="Z160" s="53">
        <f t="shared" si="54"/>
        <v>12.245200000000002</v>
      </c>
      <c r="AA160" s="53">
        <f t="shared" si="54"/>
        <v>12.245200000000002</v>
      </c>
      <c r="AB160" s="53">
        <f t="shared" si="54"/>
        <v>12.245200000000002</v>
      </c>
      <c r="AC160" s="53">
        <f t="shared" si="54"/>
        <v>12.245200000000002</v>
      </c>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43"/>
      <c r="AZ160" s="43"/>
      <c r="BA160" s="43"/>
      <c r="BB160" s="43"/>
      <c r="BC160" s="43"/>
      <c r="BD160" s="43"/>
      <c r="BE160" s="43"/>
      <c r="BF160" s="43"/>
      <c r="BG160" s="43"/>
    </row>
    <row r="161" spans="2:59" ht="12.75">
      <c r="B161" s="12"/>
      <c r="C161" s="42"/>
      <c r="D161" s="42"/>
      <c r="E161" s="57"/>
      <c r="F161" s="57"/>
      <c r="G161" s="58"/>
      <c r="H161" s="5"/>
      <c r="I161" s="5"/>
      <c r="J161" s="5"/>
      <c r="K161" s="57"/>
      <c r="L161" s="57"/>
      <c r="M161" s="57"/>
      <c r="N161" s="57"/>
      <c r="O161" s="57"/>
      <c r="P161" s="57"/>
      <c r="Q161" s="57"/>
      <c r="R161" s="57"/>
      <c r="S161" s="57"/>
      <c r="T161" s="57"/>
      <c r="U161" s="57"/>
      <c r="V161" s="57"/>
      <c r="W161" s="1"/>
      <c r="X161" s="43" t="s">
        <v>218</v>
      </c>
      <c r="Y161" s="43" t="s">
        <v>218</v>
      </c>
      <c r="Z161" s="43" t="s">
        <v>203</v>
      </c>
      <c r="AA161" s="43" t="s">
        <v>203</v>
      </c>
      <c r="AB161" s="43" t="s">
        <v>203</v>
      </c>
      <c r="AC161" s="43" t="s">
        <v>306</v>
      </c>
      <c r="AD161" s="43" t="s">
        <v>306</v>
      </c>
      <c r="AE161" s="43" t="s">
        <v>306</v>
      </c>
      <c r="AF161" s="43" t="s">
        <v>306</v>
      </c>
      <c r="AG161" s="43" t="s">
        <v>306</v>
      </c>
      <c r="AH161" s="43" t="s">
        <v>306</v>
      </c>
      <c r="AI161" s="43" t="s">
        <v>306</v>
      </c>
      <c r="AJ161" s="43" t="s">
        <v>306</v>
      </c>
      <c r="AK161" s="43" t="s">
        <v>306</v>
      </c>
      <c r="AL161" s="43" t="s">
        <v>306</v>
      </c>
      <c r="AM161" s="43" t="s">
        <v>306</v>
      </c>
      <c r="AN161" s="43" t="s">
        <v>306</v>
      </c>
      <c r="AO161" s="43" t="s">
        <v>306</v>
      </c>
      <c r="AP161" s="43" t="s">
        <v>306</v>
      </c>
      <c r="AQ161" s="43" t="s">
        <v>306</v>
      </c>
      <c r="AR161" s="43" t="s">
        <v>306</v>
      </c>
      <c r="AS161" s="43" t="s">
        <v>306</v>
      </c>
      <c r="AT161" s="43" t="s">
        <v>306</v>
      </c>
      <c r="AU161" s="43" t="s">
        <v>306</v>
      </c>
      <c r="AV161" s="43" t="s">
        <v>306</v>
      </c>
      <c r="AW161" s="43" t="s">
        <v>306</v>
      </c>
      <c r="AX161" s="43" t="s">
        <v>306</v>
      </c>
      <c r="AY161" s="43"/>
      <c r="AZ161" s="43"/>
      <c r="BA161" s="43"/>
      <c r="BB161" s="43"/>
      <c r="BC161" s="43"/>
      <c r="BD161" s="43"/>
      <c r="BE161" s="43"/>
      <c r="BF161" s="43"/>
      <c r="BG161" s="43"/>
    </row>
    <row r="162" spans="2:59" ht="12.75">
      <c r="B162" s="12" t="s">
        <v>545</v>
      </c>
      <c r="C162" s="1">
        <f>E162*(VLOOKUP(D162,Race,2,FALSE)*(N162*init_bonus+O162+P162*front+Q162*Back+R162+S162*armour+SUM(T162:V162))*(Thrust_base+(I162/J162)/Thrust_div)*POWER(W162,Weapon_power))/(POWER(signature,(L162-M162)))*IF(K162="Y",gravitic,1)*IF(H162="Y",agile,1)/divisor</f>
        <v>107.47393094819533</v>
      </c>
      <c r="D162" s="1" t="s">
        <v>543</v>
      </c>
      <c r="E162" s="57">
        <v>1</v>
      </c>
      <c r="F162" s="57">
        <v>6</v>
      </c>
      <c r="G162" s="58">
        <f>C$182*F162</f>
        <v>37.0948270371682</v>
      </c>
      <c r="H162" s="52" t="s">
        <v>21</v>
      </c>
      <c r="I162" s="52">
        <v>10</v>
      </c>
      <c r="J162" s="52">
        <v>2</v>
      </c>
      <c r="K162" s="57" t="s">
        <v>2</v>
      </c>
      <c r="L162" s="57">
        <v>6</v>
      </c>
      <c r="M162" s="57">
        <v>6</v>
      </c>
      <c r="N162" s="57">
        <v>6</v>
      </c>
      <c r="O162" s="57">
        <v>40</v>
      </c>
      <c r="P162" s="57">
        <v>0</v>
      </c>
      <c r="Q162" s="57">
        <v>0</v>
      </c>
      <c r="R162" s="57">
        <v>48</v>
      </c>
      <c r="S162" s="57">
        <v>3</v>
      </c>
      <c r="T162" s="57"/>
      <c r="U162" s="57"/>
      <c r="V162" s="57"/>
      <c r="W162" s="1">
        <f>SUM(X162:BD162)*(num_weapons_base+num_weapons_mod*COUNT(X162:BD162))</f>
        <v>80.8055041437126</v>
      </c>
      <c r="X162" s="53">
        <f>VLOOKUP(X161,weapon,2,FALSE)</f>
        <v>16.462158682634737</v>
      </c>
      <c r="Y162" s="53">
        <f>VLOOKUP(Y161,weapon,2,FALSE)</f>
        <v>16.462158682634737</v>
      </c>
      <c r="Z162" s="53">
        <f>VLOOKUP(Z161,weapon,2,FALSE)</f>
        <v>12.245200000000002</v>
      </c>
      <c r="AA162" s="53">
        <f>VLOOKUP(AA161,weapon,2,FALSE)</f>
        <v>12.245200000000002</v>
      </c>
      <c r="AB162" s="53">
        <f>VLOOKUP(AB161,weapon,2,FALSE)</f>
        <v>12.245200000000002</v>
      </c>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43"/>
      <c r="AZ162" s="43"/>
      <c r="BA162" s="43"/>
      <c r="BB162" s="43"/>
      <c r="BC162" s="43"/>
      <c r="BD162" s="43"/>
      <c r="BE162" s="43"/>
      <c r="BF162" s="43"/>
      <c r="BG162" s="43"/>
    </row>
    <row r="163" spans="2:59" ht="12.75">
      <c r="B163" s="12"/>
      <c r="C163" s="42"/>
      <c r="D163" s="42"/>
      <c r="E163" s="57"/>
      <c r="F163" s="57"/>
      <c r="G163" s="58"/>
      <c r="H163" s="5"/>
      <c r="I163" s="5"/>
      <c r="J163" s="5"/>
      <c r="K163" s="57"/>
      <c r="L163" s="57"/>
      <c r="M163" s="57"/>
      <c r="N163" s="57"/>
      <c r="O163" s="57"/>
      <c r="P163" s="57"/>
      <c r="Q163" s="57"/>
      <c r="R163" s="57"/>
      <c r="S163" s="57"/>
      <c r="T163" s="57"/>
      <c r="U163" s="57"/>
      <c r="V163" s="57"/>
      <c r="W163" s="1"/>
      <c r="X163" s="43" t="s">
        <v>223</v>
      </c>
      <c r="Y163" s="43" t="s">
        <v>223</v>
      </c>
      <c r="Z163" s="43" t="s">
        <v>223</v>
      </c>
      <c r="AA163" s="43" t="s">
        <v>223</v>
      </c>
      <c r="AB163" s="43" t="s">
        <v>203</v>
      </c>
      <c r="AC163" s="43" t="s">
        <v>203</v>
      </c>
      <c r="AD163" s="43" t="s">
        <v>203</v>
      </c>
      <c r="AE163" s="43" t="s">
        <v>203</v>
      </c>
      <c r="AF163" s="43" t="s">
        <v>203</v>
      </c>
      <c r="AG163" s="43" t="s">
        <v>203</v>
      </c>
      <c r="AH163" s="43" t="s">
        <v>306</v>
      </c>
      <c r="AI163" s="43" t="s">
        <v>306</v>
      </c>
      <c r="AJ163" s="43" t="s">
        <v>306</v>
      </c>
      <c r="AK163" s="43" t="s">
        <v>306</v>
      </c>
      <c r="AL163" s="43" t="s">
        <v>306</v>
      </c>
      <c r="AM163" s="43" t="s">
        <v>306</v>
      </c>
      <c r="AN163" s="43"/>
      <c r="AO163" s="43"/>
      <c r="AP163" s="43"/>
      <c r="AQ163" s="43"/>
      <c r="AR163" s="43"/>
      <c r="AS163" s="43"/>
      <c r="AT163" s="43"/>
      <c r="AU163" s="43"/>
      <c r="AV163" s="43"/>
      <c r="AW163" s="43"/>
      <c r="AX163" s="43"/>
      <c r="AY163" s="43"/>
      <c r="AZ163" s="43"/>
      <c r="BA163" s="43"/>
      <c r="BB163" s="43"/>
      <c r="BC163" s="43"/>
      <c r="BD163" s="43"/>
      <c r="BE163" s="43"/>
      <c r="BF163" s="43"/>
      <c r="BG163" s="43"/>
    </row>
    <row r="164" spans="2:59" ht="12.75">
      <c r="B164" s="12" t="s">
        <v>546</v>
      </c>
      <c r="C164" s="1">
        <f>E164*(VLOOKUP(D164,Race,2,FALSE)*(N164*init_bonus+O164+P164*front+Q164*Back+R164+S164*armour+SUM(T164:V164))*(Thrust_base+(I164/J164)/Thrust_div)*POWER(W164,Weapon_power))/(POWER(signature,(L164-M164)))*IF(K164="Y",gravitic,1)*IF(H164="Y",agile,1)/divisor</f>
        <v>240.22398047705906</v>
      </c>
      <c r="D164" s="1" t="s">
        <v>543</v>
      </c>
      <c r="E164" s="57">
        <v>1</v>
      </c>
      <c r="F164" s="57">
        <v>24</v>
      </c>
      <c r="G164" s="58">
        <f>F164*C184</f>
        <v>291.478095964379</v>
      </c>
      <c r="H164" s="52" t="s">
        <v>21</v>
      </c>
      <c r="I164" s="52">
        <v>12</v>
      </c>
      <c r="J164" s="52">
        <v>4</v>
      </c>
      <c r="K164" s="57" t="s">
        <v>2</v>
      </c>
      <c r="L164" s="57">
        <v>13</v>
      </c>
      <c r="M164" s="57">
        <v>8</v>
      </c>
      <c r="N164" s="57">
        <v>0</v>
      </c>
      <c r="O164" s="57">
        <v>40</v>
      </c>
      <c r="P164" s="57">
        <v>42</v>
      </c>
      <c r="Q164" s="57">
        <v>42</v>
      </c>
      <c r="R164" s="57">
        <v>48</v>
      </c>
      <c r="S164" s="57">
        <v>3</v>
      </c>
      <c r="T164" s="57"/>
      <c r="U164" s="57"/>
      <c r="V164" s="57"/>
      <c r="W164" s="1">
        <f>SUM(X164:BD164)*(num_weapons_base+num_weapons_mod*COUNT(X164:BD164))</f>
        <v>233.51064000000002</v>
      </c>
      <c r="X164" s="53">
        <f aca="true" t="shared" si="55" ref="X164:AG164">VLOOKUP(X163,weapon,2,FALSE)</f>
        <v>24.556950000000004</v>
      </c>
      <c r="Y164" s="53">
        <f t="shared" si="55"/>
        <v>24.556950000000004</v>
      </c>
      <c r="Z164" s="53">
        <f t="shared" si="55"/>
        <v>24.556950000000004</v>
      </c>
      <c r="AA164" s="53">
        <f t="shared" si="55"/>
        <v>24.556950000000004</v>
      </c>
      <c r="AB164" s="53">
        <f t="shared" si="55"/>
        <v>12.245200000000002</v>
      </c>
      <c r="AC164" s="53">
        <f t="shared" si="55"/>
        <v>12.245200000000002</v>
      </c>
      <c r="AD164" s="53">
        <f t="shared" si="55"/>
        <v>12.245200000000002</v>
      </c>
      <c r="AE164" s="53">
        <f t="shared" si="55"/>
        <v>12.245200000000002</v>
      </c>
      <c r="AF164" s="53">
        <f t="shared" si="55"/>
        <v>12.245200000000002</v>
      </c>
      <c r="AG164" s="53">
        <f t="shared" si="55"/>
        <v>12.245200000000002</v>
      </c>
      <c r="AH164" s="53"/>
      <c r="AI164" s="53"/>
      <c r="AJ164" s="53"/>
      <c r="AK164" s="53"/>
      <c r="AL164" s="53"/>
      <c r="AM164" s="53"/>
      <c r="AN164" s="53"/>
      <c r="AO164" s="53"/>
      <c r="AP164" s="53"/>
      <c r="AQ164" s="53"/>
      <c r="AR164" s="53"/>
      <c r="AS164" s="53"/>
      <c r="AT164" s="53"/>
      <c r="AU164" s="53"/>
      <c r="AV164" s="53"/>
      <c r="AW164" s="53"/>
      <c r="AX164" s="53"/>
      <c r="AY164" s="43"/>
      <c r="AZ164" s="43"/>
      <c r="BA164" s="43"/>
      <c r="BB164" s="43"/>
      <c r="BC164" s="43"/>
      <c r="BD164" s="43"/>
      <c r="BE164" s="43"/>
      <c r="BF164" s="43"/>
      <c r="BG164" s="43"/>
    </row>
    <row r="165" spans="2:59" ht="12.75">
      <c r="B165" s="12"/>
      <c r="C165" s="42"/>
      <c r="D165" s="42"/>
      <c r="E165" s="57"/>
      <c r="F165" s="57"/>
      <c r="G165" s="58"/>
      <c r="H165" s="5"/>
      <c r="I165" s="5"/>
      <c r="J165" s="5"/>
      <c r="K165" s="57"/>
      <c r="L165" s="57"/>
      <c r="M165" s="57"/>
      <c r="N165" s="57"/>
      <c r="O165" s="57"/>
      <c r="P165" s="57"/>
      <c r="Q165" s="57"/>
      <c r="R165" s="57"/>
      <c r="S165" s="57"/>
      <c r="T165" s="57"/>
      <c r="U165" s="57"/>
      <c r="V165" s="57"/>
      <c r="W165" s="1"/>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row>
    <row r="166" spans="2:59" ht="12.75">
      <c r="B166" s="12" t="s">
        <v>547</v>
      </c>
      <c r="C166" s="1">
        <f>E166*(VLOOKUP(D166,Race,2,FALSE)*(N166*init_bonus+O166+P166*front+Q166*Back+R166+S166*armour+SUM(T166:V166))*(Thrust_base+(I166/J166)/Thrust_div)*POWER(W166,Weapon_power))/(POWER(signature,(L166-M166)))*IF(K166="Y",gravitic,1)*IF(H166="Y",agile,1)/divisor</f>
        <v>0</v>
      </c>
      <c r="D166" s="1" t="s">
        <v>543</v>
      </c>
      <c r="E166" s="57">
        <v>1</v>
      </c>
      <c r="F166" s="57"/>
      <c r="G166" s="58">
        <f>C$182*F166</f>
        <v>0</v>
      </c>
      <c r="H166" s="52" t="s">
        <v>21</v>
      </c>
      <c r="I166" s="52">
        <v>15</v>
      </c>
      <c r="J166" s="52">
        <v>5</v>
      </c>
      <c r="K166" s="57" t="s">
        <v>2</v>
      </c>
      <c r="L166" s="57"/>
      <c r="M166" s="57">
        <v>8</v>
      </c>
      <c r="N166" s="57"/>
      <c r="O166" s="57"/>
      <c r="P166" s="57"/>
      <c r="Q166" s="57"/>
      <c r="R166" s="57"/>
      <c r="S166" s="57"/>
      <c r="T166" s="57"/>
      <c r="U166" s="57"/>
      <c r="V166" s="57"/>
      <c r="W166" s="1">
        <f>SUM(X166:BD166)*(num_weapons_base+num_weapons_mod*COUNT(X166:BD166))</f>
        <v>0</v>
      </c>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43"/>
      <c r="AZ166" s="43"/>
      <c r="BA166" s="43"/>
      <c r="BB166" s="43"/>
      <c r="BC166" s="43"/>
      <c r="BD166" s="43"/>
      <c r="BE166" s="43"/>
      <c r="BF166" s="43"/>
      <c r="BG166" s="43"/>
    </row>
    <row r="167" spans="2:59" ht="12.75">
      <c r="B167" s="12"/>
      <c r="C167" s="42"/>
      <c r="D167" s="42"/>
      <c r="E167" s="57"/>
      <c r="F167" s="57"/>
      <c r="G167" s="58"/>
      <c r="H167" s="5"/>
      <c r="I167" s="5"/>
      <c r="J167" s="5"/>
      <c r="K167" s="57"/>
      <c r="L167" s="57"/>
      <c r="M167" s="57"/>
      <c r="N167" s="57"/>
      <c r="O167" s="57"/>
      <c r="P167" s="57"/>
      <c r="Q167" s="57"/>
      <c r="R167" s="57"/>
      <c r="S167" s="57"/>
      <c r="T167" s="57"/>
      <c r="U167" s="57"/>
      <c r="V167" s="57"/>
      <c r="W167" s="1"/>
      <c r="X167" s="43" t="s">
        <v>223</v>
      </c>
      <c r="Y167" s="43" t="s">
        <v>223</v>
      </c>
      <c r="Z167" s="43" t="s">
        <v>223</v>
      </c>
      <c r="AA167" s="43" t="s">
        <v>221</v>
      </c>
      <c r="AB167" s="43" t="s">
        <v>221</v>
      </c>
      <c r="AC167" s="43" t="s">
        <v>221</v>
      </c>
      <c r="AD167" s="43" t="s">
        <v>221</v>
      </c>
      <c r="AE167" s="43" t="s">
        <v>221</v>
      </c>
      <c r="AF167" s="43" t="s">
        <v>221</v>
      </c>
      <c r="AG167" s="43" t="s">
        <v>203</v>
      </c>
      <c r="AH167" s="43" t="s">
        <v>203</v>
      </c>
      <c r="AI167" s="43" t="s">
        <v>203</v>
      </c>
      <c r="AJ167" s="43" t="s">
        <v>203</v>
      </c>
      <c r="AK167" s="43" t="s">
        <v>203</v>
      </c>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row>
    <row r="168" spans="2:59" ht="12.75">
      <c r="B168" s="12" t="s">
        <v>548</v>
      </c>
      <c r="C168" s="1">
        <f>E168*(VLOOKUP(D168,Race,2,FALSE)*(N168*init_bonus+O168+P168*front+Q168*Back+R168+S168*armour+SUM(T168:V168))*(Thrust_base+(I168/J168)/Thrust_div)*POWER(W168,Weapon_power))/(POWER(signature,(L168-M168)))*IF(K168="Y",gravitic,1)*IF(H168="Y",agile,1)/divisor</f>
        <v>369.26754153387844</v>
      </c>
      <c r="D168" s="1" t="s">
        <v>543</v>
      </c>
      <c r="E168" s="57">
        <v>1</v>
      </c>
      <c r="F168" s="57"/>
      <c r="G168" s="58">
        <v>0</v>
      </c>
      <c r="H168" s="52" t="s">
        <v>21</v>
      </c>
      <c r="I168" s="52">
        <v>15</v>
      </c>
      <c r="J168" s="52">
        <v>5</v>
      </c>
      <c r="K168" s="57" t="s">
        <v>2</v>
      </c>
      <c r="L168" s="57">
        <v>14</v>
      </c>
      <c r="M168" s="57">
        <v>8</v>
      </c>
      <c r="N168" s="57">
        <v>-2</v>
      </c>
      <c r="O168" s="57">
        <v>65</v>
      </c>
      <c r="P168" s="57">
        <v>54</v>
      </c>
      <c r="Q168" s="57">
        <v>54</v>
      </c>
      <c r="R168" s="57">
        <v>68</v>
      </c>
      <c r="S168" s="57"/>
      <c r="T168" s="57"/>
      <c r="U168" s="57">
        <v>-32</v>
      </c>
      <c r="V168" s="57"/>
      <c r="W168" s="1">
        <f>SUM(X168:BD168)*(num_weapons_base+num_weapons_mod*COUNT(X168:BD168))</f>
        <v>406.6066576000001</v>
      </c>
      <c r="X168" s="53">
        <f aca="true" t="shared" si="56" ref="X168:AK168">VLOOKUP(X167,weapon,2,FALSE)</f>
        <v>24.556950000000004</v>
      </c>
      <c r="Y168" s="53">
        <f t="shared" si="56"/>
        <v>24.556950000000004</v>
      </c>
      <c r="Z168" s="53">
        <f t="shared" si="56"/>
        <v>24.556950000000004</v>
      </c>
      <c r="AA168" s="53">
        <f t="shared" si="56"/>
        <v>22.101255000000002</v>
      </c>
      <c r="AB168" s="53">
        <f t="shared" si="56"/>
        <v>22.101255000000002</v>
      </c>
      <c r="AC168" s="53">
        <f t="shared" si="56"/>
        <v>22.101255000000002</v>
      </c>
      <c r="AD168" s="53">
        <f t="shared" si="56"/>
        <v>22.101255000000002</v>
      </c>
      <c r="AE168" s="53">
        <f t="shared" si="56"/>
        <v>22.101255000000002</v>
      </c>
      <c r="AF168" s="53">
        <f t="shared" si="56"/>
        <v>22.101255000000002</v>
      </c>
      <c r="AG168" s="53">
        <f t="shared" si="56"/>
        <v>12.245200000000002</v>
      </c>
      <c r="AH168" s="53">
        <f t="shared" si="56"/>
        <v>12.245200000000002</v>
      </c>
      <c r="AI168" s="53">
        <f t="shared" si="56"/>
        <v>12.245200000000002</v>
      </c>
      <c r="AJ168" s="53">
        <f t="shared" si="56"/>
        <v>12.245200000000002</v>
      </c>
      <c r="AK168" s="53">
        <f t="shared" si="56"/>
        <v>12.245200000000002</v>
      </c>
      <c r="AL168" s="53"/>
      <c r="AM168" s="53"/>
      <c r="AN168" s="53"/>
      <c r="AO168" s="53"/>
      <c r="AP168" s="53"/>
      <c r="AQ168" s="53"/>
      <c r="AR168" s="53"/>
      <c r="AS168" s="53"/>
      <c r="AT168" s="53"/>
      <c r="AU168" s="53"/>
      <c r="AV168" s="53"/>
      <c r="AW168" s="53"/>
      <c r="AX168" s="53"/>
      <c r="AY168" s="43"/>
      <c r="AZ168" s="43"/>
      <c r="BA168" s="43"/>
      <c r="BB168" s="43"/>
      <c r="BC168" s="43"/>
      <c r="BD168" s="43"/>
      <c r="BE168" s="43"/>
      <c r="BF168" s="43"/>
      <c r="BG168" s="43"/>
    </row>
    <row r="169" spans="2:59" ht="12.75">
      <c r="B169" s="12"/>
      <c r="C169" s="42"/>
      <c r="D169" s="42"/>
      <c r="E169" s="57"/>
      <c r="F169" s="57"/>
      <c r="G169" s="58"/>
      <c r="H169" s="5"/>
      <c r="I169" s="5"/>
      <c r="J169" s="5"/>
      <c r="K169" s="57"/>
      <c r="L169" s="57"/>
      <c r="M169" s="57"/>
      <c r="N169" s="57"/>
      <c r="O169" s="57"/>
      <c r="P169" s="57"/>
      <c r="Q169" s="57"/>
      <c r="R169" s="57"/>
      <c r="S169" s="57"/>
      <c r="T169" s="57"/>
      <c r="U169" s="57"/>
      <c r="V169" s="57"/>
      <c r="W169" s="1"/>
      <c r="X169" s="43" t="s">
        <v>223</v>
      </c>
      <c r="Y169" s="43" t="s">
        <v>223</v>
      </c>
      <c r="Z169" s="43" t="s">
        <v>223</v>
      </c>
      <c r="AA169" s="43" t="s">
        <v>221</v>
      </c>
      <c r="AB169" s="43" t="s">
        <v>221</v>
      </c>
      <c r="AC169" s="43" t="s">
        <v>187</v>
      </c>
      <c r="AD169" s="43" t="s">
        <v>187</v>
      </c>
      <c r="AE169" s="43" t="s">
        <v>187</v>
      </c>
      <c r="AF169" s="43" t="s">
        <v>203</v>
      </c>
      <c r="AG169" s="43" t="s">
        <v>203</v>
      </c>
      <c r="AH169" s="43" t="s">
        <v>203</v>
      </c>
      <c r="AI169" s="43" t="s">
        <v>203</v>
      </c>
      <c r="AJ169" s="43" t="s">
        <v>306</v>
      </c>
      <c r="AK169" s="43" t="s">
        <v>306</v>
      </c>
      <c r="AL169" s="43" t="s">
        <v>306</v>
      </c>
      <c r="AM169" s="43" t="s">
        <v>306</v>
      </c>
      <c r="AN169" s="43"/>
      <c r="AO169" s="43"/>
      <c r="AP169" s="43"/>
      <c r="AQ169" s="43"/>
      <c r="AR169" s="43"/>
      <c r="AS169" s="43"/>
      <c r="AT169" s="43"/>
      <c r="AU169" s="43"/>
      <c r="AV169" s="43"/>
      <c r="AW169" s="43"/>
      <c r="AX169" s="43"/>
      <c r="AY169" s="43"/>
      <c r="AZ169" s="43"/>
      <c r="BA169" s="43"/>
      <c r="BB169" s="43"/>
      <c r="BC169" s="43"/>
      <c r="BD169" s="43"/>
      <c r="BE169" s="43"/>
      <c r="BF169" s="43"/>
      <c r="BG169" s="43"/>
    </row>
    <row r="170" spans="2:59" ht="12.75">
      <c r="B170" s="12" t="s">
        <v>549</v>
      </c>
      <c r="C170" s="1">
        <f>E170*(VLOOKUP(D170,Race,2,FALSE)*(N170*init_bonus+O170+P170*front+Q170*Back+R170+S170*armour+SUM(T170:V170))*(Thrust_base+(I170/J170)/Thrust_div)*POWER(W170,Weapon_power))/(POWER(signature,(L170-M170)))*IF(K170="Y",gravitic,1)*IF(H170="Y",agile,1)/divisor</f>
        <v>678.3065033473102</v>
      </c>
      <c r="D170" s="1" t="s">
        <v>543</v>
      </c>
      <c r="E170" s="57">
        <v>1</v>
      </c>
      <c r="F170" s="57"/>
      <c r="G170" s="58">
        <v>0</v>
      </c>
      <c r="H170" s="52" t="s">
        <v>21</v>
      </c>
      <c r="I170" s="52">
        <v>16</v>
      </c>
      <c r="J170" s="52">
        <v>4</v>
      </c>
      <c r="K170" s="57" t="s">
        <v>2</v>
      </c>
      <c r="L170" s="57">
        <v>10</v>
      </c>
      <c r="M170" s="57">
        <v>10</v>
      </c>
      <c r="N170" s="57">
        <v>2</v>
      </c>
      <c r="O170" s="57">
        <v>40</v>
      </c>
      <c r="P170" s="57">
        <v>46</v>
      </c>
      <c r="Q170" s="57">
        <v>42</v>
      </c>
      <c r="R170" s="57">
        <v>48</v>
      </c>
      <c r="S170" s="57">
        <v>5</v>
      </c>
      <c r="T170" s="57">
        <v>15</v>
      </c>
      <c r="U170" s="57">
        <v>4</v>
      </c>
      <c r="V170" s="57"/>
      <c r="W170" s="1">
        <f>SUM(X170:BD170)*(num_weapons_base+num_weapons_mod*COUNT(X170:BD170))</f>
        <v>336.0498227353294</v>
      </c>
      <c r="X170" s="53">
        <f aca="true" t="shared" si="57" ref="X170:AI170">VLOOKUP(X169,weapon,2,FALSE)</f>
        <v>24.556950000000004</v>
      </c>
      <c r="Y170" s="53">
        <f t="shared" si="57"/>
        <v>24.556950000000004</v>
      </c>
      <c r="Z170" s="53">
        <f t="shared" si="57"/>
        <v>24.556950000000004</v>
      </c>
      <c r="AA170" s="53">
        <f t="shared" si="57"/>
        <v>22.101255000000002</v>
      </c>
      <c r="AB170" s="53">
        <f t="shared" si="57"/>
        <v>22.101255000000002</v>
      </c>
      <c r="AC170" s="53">
        <f t="shared" si="57"/>
        <v>22.171257485029944</v>
      </c>
      <c r="AD170" s="53">
        <f t="shared" si="57"/>
        <v>22.171257485029944</v>
      </c>
      <c r="AE170" s="53">
        <f t="shared" si="57"/>
        <v>22.171257485029944</v>
      </c>
      <c r="AF170" s="53">
        <f t="shared" si="57"/>
        <v>12.245200000000002</v>
      </c>
      <c r="AG170" s="53">
        <f t="shared" si="57"/>
        <v>12.245200000000002</v>
      </c>
      <c r="AH170" s="53">
        <f t="shared" si="57"/>
        <v>12.245200000000002</v>
      </c>
      <c r="AI170" s="53">
        <f t="shared" si="57"/>
        <v>12.245200000000002</v>
      </c>
      <c r="AJ170" s="53"/>
      <c r="AK170" s="53"/>
      <c r="AL170" s="53"/>
      <c r="AM170" s="53"/>
      <c r="AN170" s="53"/>
      <c r="AO170" s="53"/>
      <c r="AP170" s="53"/>
      <c r="AQ170" s="53"/>
      <c r="AR170" s="53"/>
      <c r="AS170" s="53"/>
      <c r="AT170" s="53"/>
      <c r="AU170" s="53"/>
      <c r="AV170" s="53"/>
      <c r="AW170" s="53"/>
      <c r="AX170" s="53"/>
      <c r="AY170" s="43"/>
      <c r="AZ170" s="43"/>
      <c r="BA170" s="43"/>
      <c r="BB170" s="43"/>
      <c r="BC170" s="43"/>
      <c r="BD170" s="43"/>
      <c r="BE170" s="43"/>
      <c r="BF170" s="43"/>
      <c r="BG170" s="43"/>
    </row>
    <row r="171" spans="2:59" ht="12.75">
      <c r="B171" s="12"/>
      <c r="C171" s="42"/>
      <c r="D171" s="42"/>
      <c r="E171" s="57"/>
      <c r="F171" s="57"/>
      <c r="G171" s="58"/>
      <c r="H171" s="5"/>
      <c r="I171" s="5"/>
      <c r="J171" s="5"/>
      <c r="K171" s="57"/>
      <c r="L171" s="57"/>
      <c r="M171" s="57"/>
      <c r="N171" s="57"/>
      <c r="O171" s="57"/>
      <c r="P171" s="57"/>
      <c r="Q171" s="57"/>
      <c r="R171" s="57"/>
      <c r="S171" s="57"/>
      <c r="T171" s="57"/>
      <c r="U171" s="57"/>
      <c r="V171" s="57"/>
      <c r="W171" s="1"/>
      <c r="X171" s="43" t="s">
        <v>223</v>
      </c>
      <c r="Y171" s="43" t="s">
        <v>973</v>
      </c>
      <c r="Z171" s="43" t="s">
        <v>973</v>
      </c>
      <c r="AA171" s="43" t="s">
        <v>973</v>
      </c>
      <c r="AB171" s="43" t="s">
        <v>973</v>
      </c>
      <c r="AC171" s="43" t="s">
        <v>973</v>
      </c>
      <c r="AD171" s="43" t="s">
        <v>973</v>
      </c>
      <c r="AE171" s="43" t="s">
        <v>973</v>
      </c>
      <c r="AF171" s="43" t="s">
        <v>203</v>
      </c>
      <c r="AG171" s="43" t="s">
        <v>203</v>
      </c>
      <c r="AH171" s="43" t="s">
        <v>203</v>
      </c>
      <c r="AI171" s="43" t="s">
        <v>203</v>
      </c>
      <c r="AJ171" s="43" t="s">
        <v>306</v>
      </c>
      <c r="AK171" s="43" t="s">
        <v>306</v>
      </c>
      <c r="AL171" s="43" t="s">
        <v>306</v>
      </c>
      <c r="AM171" s="43" t="s">
        <v>306</v>
      </c>
      <c r="AN171" s="43"/>
      <c r="AO171" s="43"/>
      <c r="AP171" s="43"/>
      <c r="AQ171" s="43"/>
      <c r="AR171" s="43"/>
      <c r="AS171" s="43"/>
      <c r="AT171" s="43"/>
      <c r="AU171" s="43"/>
      <c r="AV171" s="43"/>
      <c r="AW171" s="43"/>
      <c r="AX171" s="43"/>
      <c r="AY171" s="43"/>
      <c r="AZ171" s="43"/>
      <c r="BA171" s="43"/>
      <c r="BB171" s="43"/>
      <c r="BC171" s="43"/>
      <c r="BD171" s="43"/>
      <c r="BE171" s="43"/>
      <c r="BF171" s="43"/>
      <c r="BG171" s="43"/>
    </row>
    <row r="172" spans="2:59" ht="12.75">
      <c r="B172" s="12" t="s">
        <v>550</v>
      </c>
      <c r="C172" s="1">
        <f>E172*(VLOOKUP(D172,Race,2,FALSE)*(N172*init_bonus+O172+P172*front+Q172*Back+R172+S172*armour+SUM(T172:V172))*(Thrust_base+(I172/J172)/Thrust_div)*POWER(W172,Weapon_power))/(POWER(signature,(L172-M172)))*IF(K172="Y",gravitic,1)*IF(H172="Y",agile,1)/divisor</f>
        <v>478.07835523643354</v>
      </c>
      <c r="D172" s="1" t="s">
        <v>543</v>
      </c>
      <c r="E172" s="57">
        <v>1</v>
      </c>
      <c r="F172" s="57"/>
      <c r="G172" s="58">
        <v>0</v>
      </c>
      <c r="H172" s="52" t="s">
        <v>21</v>
      </c>
      <c r="I172" s="52">
        <v>16</v>
      </c>
      <c r="J172" s="52">
        <v>4</v>
      </c>
      <c r="K172" s="57" t="s">
        <v>2</v>
      </c>
      <c r="L172" s="57">
        <v>10</v>
      </c>
      <c r="M172" s="57">
        <v>10</v>
      </c>
      <c r="N172" s="57">
        <v>2</v>
      </c>
      <c r="O172" s="57">
        <v>40</v>
      </c>
      <c r="P172" s="57">
        <v>46</v>
      </c>
      <c r="Q172" s="57">
        <v>42</v>
      </c>
      <c r="R172" s="57">
        <v>48</v>
      </c>
      <c r="S172" s="57">
        <v>5</v>
      </c>
      <c r="T172" s="57">
        <v>15</v>
      </c>
      <c r="U172" s="57"/>
      <c r="V172" s="57"/>
      <c r="W172" s="1">
        <f>SUM(X172:BD172)*(num_weapons_base+num_weapons_mod*COUNT(X172:BD172))</f>
        <v>245.28636000000012</v>
      </c>
      <c r="X172" s="53">
        <f aca="true" t="shared" si="58" ref="X172:AI172">VLOOKUP(X171,weapon,2,FALSE)</f>
        <v>24.556950000000004</v>
      </c>
      <c r="Y172" s="53">
        <f t="shared" si="58"/>
        <v>13.828571428571431</v>
      </c>
      <c r="Z172" s="53">
        <f t="shared" si="58"/>
        <v>13.828571428571431</v>
      </c>
      <c r="AA172" s="53">
        <f t="shared" si="58"/>
        <v>13.828571428571431</v>
      </c>
      <c r="AB172" s="53">
        <f t="shared" si="58"/>
        <v>13.828571428571431</v>
      </c>
      <c r="AC172" s="53">
        <f t="shared" si="58"/>
        <v>13.828571428571431</v>
      </c>
      <c r="AD172" s="53">
        <f t="shared" si="58"/>
        <v>13.828571428571431</v>
      </c>
      <c r="AE172" s="53">
        <f t="shared" si="58"/>
        <v>13.828571428571431</v>
      </c>
      <c r="AF172" s="53">
        <f t="shared" si="58"/>
        <v>12.245200000000002</v>
      </c>
      <c r="AG172" s="53">
        <f t="shared" si="58"/>
        <v>12.245200000000002</v>
      </c>
      <c r="AH172" s="53">
        <f t="shared" si="58"/>
        <v>12.245200000000002</v>
      </c>
      <c r="AI172" s="53">
        <f t="shared" si="58"/>
        <v>12.245200000000002</v>
      </c>
      <c r="AJ172" s="53"/>
      <c r="AK172" s="53"/>
      <c r="AL172" s="53"/>
      <c r="AM172" s="53"/>
      <c r="AN172" s="53"/>
      <c r="AO172" s="53"/>
      <c r="AP172" s="53"/>
      <c r="AQ172" s="53"/>
      <c r="AR172" s="53"/>
      <c r="AS172" s="53"/>
      <c r="AT172" s="53"/>
      <c r="AU172" s="53"/>
      <c r="AV172" s="53"/>
      <c r="AW172" s="53"/>
      <c r="AX172" s="53"/>
      <c r="AY172" s="43"/>
      <c r="AZ172" s="43"/>
      <c r="BA172" s="43"/>
      <c r="BB172" s="43"/>
      <c r="BC172" s="43"/>
      <c r="BD172" s="43"/>
      <c r="BE172" s="43"/>
      <c r="BF172" s="43"/>
      <c r="BG172" s="43"/>
    </row>
    <row r="173" spans="2:59" ht="12.75">
      <c r="B173" s="12"/>
      <c r="C173" s="42"/>
      <c r="D173" s="42"/>
      <c r="E173" s="57"/>
      <c r="F173" s="57"/>
      <c r="G173" s="58"/>
      <c r="H173" s="5"/>
      <c r="I173" s="5"/>
      <c r="J173" s="5"/>
      <c r="K173" s="57"/>
      <c r="L173" s="57"/>
      <c r="M173" s="57"/>
      <c r="N173" s="57"/>
      <c r="O173" s="57"/>
      <c r="P173" s="57"/>
      <c r="Q173" s="57"/>
      <c r="R173" s="57"/>
      <c r="S173" s="57"/>
      <c r="T173" s="57"/>
      <c r="U173" s="57"/>
      <c r="V173" s="57"/>
      <c r="W173" s="1"/>
      <c r="X173" s="43" t="s">
        <v>203</v>
      </c>
      <c r="Y173" s="43" t="s">
        <v>203</v>
      </c>
      <c r="Z173" s="43" t="s">
        <v>203</v>
      </c>
      <c r="AA173" s="43" t="s">
        <v>203</v>
      </c>
      <c r="AB173" s="43" t="s">
        <v>965</v>
      </c>
      <c r="AC173" s="43" t="s">
        <v>965</v>
      </c>
      <c r="AD173" s="43" t="s">
        <v>965</v>
      </c>
      <c r="AE173" s="43" t="s">
        <v>965</v>
      </c>
      <c r="AF173" s="43" t="s">
        <v>306</v>
      </c>
      <c r="AG173" s="43" t="s">
        <v>306</v>
      </c>
      <c r="AH173" s="43" t="s">
        <v>306</v>
      </c>
      <c r="AI173" s="43" t="s">
        <v>306</v>
      </c>
      <c r="AJ173" s="43" t="s">
        <v>306</v>
      </c>
      <c r="AK173" s="43" t="s">
        <v>306</v>
      </c>
      <c r="AL173" s="43" t="s">
        <v>306</v>
      </c>
      <c r="AM173" s="43" t="s">
        <v>306</v>
      </c>
      <c r="AN173" s="43"/>
      <c r="AO173" s="43"/>
      <c r="AP173" s="43"/>
      <c r="AQ173" s="43"/>
      <c r="AR173" s="43"/>
      <c r="AS173" s="43"/>
      <c r="AT173" s="43"/>
      <c r="AU173" s="43"/>
      <c r="AV173" s="43"/>
      <c r="AW173" s="43"/>
      <c r="AX173" s="43"/>
      <c r="AY173" s="43"/>
      <c r="AZ173" s="43"/>
      <c r="BA173" s="43"/>
      <c r="BB173" s="43"/>
      <c r="BC173" s="43"/>
      <c r="BD173" s="43"/>
      <c r="BE173" s="43"/>
      <c r="BF173" s="43"/>
      <c r="BG173" s="43"/>
    </row>
    <row r="174" spans="2:59" ht="12.75">
      <c r="B174" s="12" t="s">
        <v>551</v>
      </c>
      <c r="C174" s="1">
        <f>E174*(VLOOKUP(D174,Race,2,FALSE)*(N174*init_bonus+O174+P174*front+Q174*Back+R174+S174*armour+SUM(T174:V174))*(Thrust_base+(I174/J174)/Thrust_div)*POWER(W174,Weapon_power))/(POWER(signature,(L174-M174)))*IF(K174="Y",gravitic,1)*IF(H174="Y",agile,1)/divisor</f>
        <v>122.06708740999824</v>
      </c>
      <c r="D174" s="1" t="s">
        <v>543</v>
      </c>
      <c r="E174" s="57">
        <v>1</v>
      </c>
      <c r="F174" s="57"/>
      <c r="G174" s="58">
        <v>0</v>
      </c>
      <c r="H174" s="52" t="s">
        <v>2</v>
      </c>
      <c r="I174" s="52">
        <v>10</v>
      </c>
      <c r="J174" s="52">
        <v>2</v>
      </c>
      <c r="K174" s="57" t="s">
        <v>2</v>
      </c>
      <c r="L174" s="57">
        <v>5</v>
      </c>
      <c r="M174" s="57">
        <v>5</v>
      </c>
      <c r="N174" s="57">
        <v>12</v>
      </c>
      <c r="O174" s="57">
        <v>55</v>
      </c>
      <c r="P174" s="57">
        <v>0</v>
      </c>
      <c r="Q174" s="57">
        <v>0</v>
      </c>
      <c r="R174" s="57">
        <v>0</v>
      </c>
      <c r="S174" s="57">
        <v>1</v>
      </c>
      <c r="T174" s="57">
        <v>5</v>
      </c>
      <c r="U174" s="57"/>
      <c r="V174" s="57"/>
      <c r="W174" s="1">
        <f>SUM(X174:BD174)*(num_weapons_base+num_weapons_mod*COUNT(X174:BD174))</f>
        <v>102.0225536</v>
      </c>
      <c r="X174" s="53">
        <f aca="true" t="shared" si="59" ref="X174:AE174">VLOOKUP(X173,weapon,2,FALSE)</f>
        <v>12.245200000000002</v>
      </c>
      <c r="Y174" s="53">
        <f t="shared" si="59"/>
        <v>12.245200000000002</v>
      </c>
      <c r="Z174" s="53">
        <f t="shared" si="59"/>
        <v>12.245200000000002</v>
      </c>
      <c r="AA174" s="53">
        <f t="shared" si="59"/>
        <v>12.245200000000002</v>
      </c>
      <c r="AB174" s="53">
        <f t="shared" si="59"/>
        <v>7.681079999999999</v>
      </c>
      <c r="AC174" s="53">
        <f t="shared" si="59"/>
        <v>7.681079999999999</v>
      </c>
      <c r="AD174" s="53">
        <f t="shared" si="59"/>
        <v>7.681079999999999</v>
      </c>
      <c r="AE174" s="53">
        <f t="shared" si="59"/>
        <v>7.681079999999999</v>
      </c>
      <c r="AF174" s="53"/>
      <c r="AG174" s="53"/>
      <c r="AH174" s="53"/>
      <c r="AI174" s="53"/>
      <c r="AJ174" s="53"/>
      <c r="AK174" s="53"/>
      <c r="AL174" s="53"/>
      <c r="AM174" s="53"/>
      <c r="AN174" s="53"/>
      <c r="AO174" s="53"/>
      <c r="AP174" s="53"/>
      <c r="AQ174" s="53"/>
      <c r="AR174" s="53"/>
      <c r="AS174" s="53"/>
      <c r="AT174" s="53"/>
      <c r="AU174" s="53"/>
      <c r="AV174" s="53"/>
      <c r="AW174" s="53"/>
      <c r="AX174" s="53"/>
      <c r="AY174" s="43"/>
      <c r="AZ174" s="43"/>
      <c r="BA174" s="43"/>
      <c r="BB174" s="43"/>
      <c r="BC174" s="43"/>
      <c r="BD174" s="43"/>
      <c r="BE174" s="43"/>
      <c r="BF174" s="43"/>
      <c r="BG174" s="43"/>
    </row>
    <row r="175" spans="2:59" ht="12.75">
      <c r="B175" s="12"/>
      <c r="C175" s="42"/>
      <c r="D175" s="42"/>
      <c r="E175" s="57"/>
      <c r="F175" s="57"/>
      <c r="G175" s="58"/>
      <c r="H175" s="5"/>
      <c r="I175" s="5"/>
      <c r="J175" s="5"/>
      <c r="K175" s="57"/>
      <c r="L175" s="57"/>
      <c r="M175" s="57"/>
      <c r="N175" s="57"/>
      <c r="O175" s="57"/>
      <c r="P175" s="57"/>
      <c r="Q175" s="57"/>
      <c r="R175" s="57"/>
      <c r="S175" s="57"/>
      <c r="T175" s="57"/>
      <c r="U175" s="57"/>
      <c r="V175" s="57"/>
      <c r="W175" s="1"/>
      <c r="X175" s="43" t="s">
        <v>221</v>
      </c>
      <c r="Y175" s="43" t="s">
        <v>221</v>
      </c>
      <c r="Z175" s="43" t="s">
        <v>203</v>
      </c>
      <c r="AA175" s="43" t="s">
        <v>203</v>
      </c>
      <c r="AB175" s="43" t="s">
        <v>203</v>
      </c>
      <c r="AC175" s="43" t="s">
        <v>203</v>
      </c>
      <c r="AD175" s="43" t="s">
        <v>306</v>
      </c>
      <c r="AE175" s="43" t="s">
        <v>306</v>
      </c>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row>
    <row r="176" spans="2:59" ht="12.75">
      <c r="B176" s="12" t="s">
        <v>552</v>
      </c>
      <c r="C176" s="1">
        <f>E176*(VLOOKUP(D176,Race,2,FALSE)*(N176*init_bonus+O176+P176*front+Q176*Back+R176+S176*armour+SUM(T176:V176))*(Thrust_base+(I176/J176)/Thrust_div)*POWER(W176,Weapon_power))/(POWER(signature,(L176-M176)))*IF(K176="Y",gravitic,1)*IF(H176="Y",agile,1)/divisor</f>
        <v>134.72488674220455</v>
      </c>
      <c r="D176" s="1" t="s">
        <v>543</v>
      </c>
      <c r="E176" s="57">
        <v>1</v>
      </c>
      <c r="F176" s="57"/>
      <c r="G176" s="58">
        <v>0</v>
      </c>
      <c r="H176" s="52" t="s">
        <v>2</v>
      </c>
      <c r="I176" s="52">
        <v>9</v>
      </c>
      <c r="J176" s="52">
        <v>2</v>
      </c>
      <c r="K176" s="57" t="s">
        <v>2</v>
      </c>
      <c r="L176" s="57">
        <v>6</v>
      </c>
      <c r="M176" s="57">
        <v>7</v>
      </c>
      <c r="N176" s="57">
        <v>12</v>
      </c>
      <c r="O176" s="57">
        <v>55</v>
      </c>
      <c r="P176" s="57">
        <v>0</v>
      </c>
      <c r="Q176" s="57">
        <v>0</v>
      </c>
      <c r="R176" s="57">
        <v>0</v>
      </c>
      <c r="S176" s="57">
        <v>1</v>
      </c>
      <c r="T176" s="57"/>
      <c r="U176" s="57"/>
      <c r="V176" s="57"/>
      <c r="W176" s="1">
        <f>SUM(X176:BD176)*(num_weapons_base+num_weapons_mod*COUNT(X176:BD176))</f>
        <v>111.819972</v>
      </c>
      <c r="X176" s="53">
        <f aca="true" t="shared" si="60" ref="X176:AC176">VLOOKUP(X175,weapon,2,FALSE)</f>
        <v>22.101255000000002</v>
      </c>
      <c r="Y176" s="53">
        <f t="shared" si="60"/>
        <v>22.101255000000002</v>
      </c>
      <c r="Z176" s="53">
        <f t="shared" si="60"/>
        <v>12.245200000000002</v>
      </c>
      <c r="AA176" s="53">
        <f t="shared" si="60"/>
        <v>12.245200000000002</v>
      </c>
      <c r="AB176" s="53">
        <f t="shared" si="60"/>
        <v>12.245200000000002</v>
      </c>
      <c r="AC176" s="53">
        <f t="shared" si="60"/>
        <v>12.245200000000002</v>
      </c>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43"/>
      <c r="AZ176" s="43"/>
      <c r="BA176" s="43"/>
      <c r="BB176" s="43"/>
      <c r="BC176" s="43"/>
      <c r="BD176" s="43"/>
      <c r="BE176" s="43"/>
      <c r="BF176" s="43"/>
      <c r="BG176" s="43"/>
    </row>
    <row r="177" spans="2:59" ht="12.75">
      <c r="B177" s="12"/>
      <c r="C177" s="42"/>
      <c r="D177" s="42"/>
      <c r="E177" s="57"/>
      <c r="F177" s="57"/>
      <c r="G177" s="58"/>
      <c r="H177" s="5"/>
      <c r="I177" s="5"/>
      <c r="J177" s="5"/>
      <c r="K177" s="57"/>
      <c r="L177" s="57"/>
      <c r="M177" s="57"/>
      <c r="N177" s="57"/>
      <c r="O177" s="57"/>
      <c r="P177" s="57"/>
      <c r="Q177" s="57"/>
      <c r="R177" s="57"/>
      <c r="S177" s="57"/>
      <c r="T177" s="57"/>
      <c r="U177" s="57"/>
      <c r="V177" s="57"/>
      <c r="W177" s="1"/>
      <c r="X177" s="43" t="s">
        <v>209</v>
      </c>
      <c r="Y177" s="43" t="s">
        <v>209</v>
      </c>
      <c r="Z177" s="43" t="s">
        <v>203</v>
      </c>
      <c r="AA177" s="43" t="s">
        <v>203</v>
      </c>
      <c r="AB177" s="43" t="s">
        <v>203</v>
      </c>
      <c r="AC177" s="43" t="s">
        <v>306</v>
      </c>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row>
    <row r="178" spans="2:59" ht="12.75">
      <c r="B178" s="12" t="s">
        <v>553</v>
      </c>
      <c r="C178" s="1">
        <f>E178*(VLOOKUP(D178,Race,2,FALSE)*(N178*init_bonus+O178+P178*front+Q178*Back+R178+S178*armour+SUM(T178:V178))*(Thrust_base+(I178/J178)/Thrust_div)*POWER(W178,Weapon_power))/(POWER(signature,(L178-M178)))*IF(K178="Y",gravitic,1)*IF(H178="Y",agile,1)/divisor</f>
        <v>98.80264930638</v>
      </c>
      <c r="D178" s="1" t="s">
        <v>543</v>
      </c>
      <c r="E178" s="57">
        <v>1</v>
      </c>
      <c r="F178" s="57"/>
      <c r="G178" s="58">
        <f>C$182*F178</f>
        <v>0</v>
      </c>
      <c r="H178" s="52" t="s">
        <v>21</v>
      </c>
      <c r="I178" s="52">
        <v>10</v>
      </c>
      <c r="J178" s="52">
        <v>2</v>
      </c>
      <c r="K178" s="57" t="s">
        <v>2</v>
      </c>
      <c r="L178" s="57">
        <v>6</v>
      </c>
      <c r="M178" s="57">
        <v>7</v>
      </c>
      <c r="N178" s="57">
        <v>6</v>
      </c>
      <c r="O178" s="57">
        <v>40</v>
      </c>
      <c r="P178" s="57">
        <v>0</v>
      </c>
      <c r="Q178" s="57">
        <v>0</v>
      </c>
      <c r="R178" s="57">
        <v>48</v>
      </c>
      <c r="S178" s="57">
        <v>3</v>
      </c>
      <c r="T178" s="57">
        <v>10</v>
      </c>
      <c r="U178" s="57"/>
      <c r="V178" s="57"/>
      <c r="W178" s="1">
        <f>SUM(X178:BD178)*(num_weapons_base+num_weapons_mod*COUNT(X178:BD178))</f>
        <v>65.54110200000001</v>
      </c>
      <c r="X178" s="53">
        <f>VLOOKUP(X177,weapon,2,FALSE)</f>
        <v>9.882675000000003</v>
      </c>
      <c r="Y178" s="53">
        <f>VLOOKUP(Y177,weapon,2,FALSE)</f>
        <v>9.882675000000003</v>
      </c>
      <c r="Z178" s="53">
        <f>VLOOKUP(Z177,weapon,2,FALSE)</f>
        <v>12.245200000000002</v>
      </c>
      <c r="AA178" s="53">
        <f>VLOOKUP(AA177,weapon,2,FALSE)</f>
        <v>12.245200000000002</v>
      </c>
      <c r="AB178" s="53">
        <f>VLOOKUP(AB177,weapon,2,FALSE)</f>
        <v>12.245200000000002</v>
      </c>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43"/>
      <c r="AZ178" s="43"/>
      <c r="BA178" s="43"/>
      <c r="BB178" s="43"/>
      <c r="BC178" s="43"/>
      <c r="BD178" s="43"/>
      <c r="BE178" s="43"/>
      <c r="BF178" s="43"/>
      <c r="BG178" s="43"/>
    </row>
    <row r="179" spans="2:59" ht="12.75">
      <c r="B179" s="12"/>
      <c r="C179" s="42"/>
      <c r="D179" s="42"/>
      <c r="E179" s="57"/>
      <c r="F179" s="57"/>
      <c r="G179" s="58"/>
      <c r="H179" s="5"/>
      <c r="I179" s="5"/>
      <c r="J179" s="5"/>
      <c r="K179" s="57"/>
      <c r="L179" s="57"/>
      <c r="M179" s="57"/>
      <c r="N179" s="57"/>
      <c r="O179" s="57"/>
      <c r="P179" s="57"/>
      <c r="Q179" s="57"/>
      <c r="R179" s="57"/>
      <c r="S179" s="57"/>
      <c r="T179" s="57"/>
      <c r="U179" s="57"/>
      <c r="V179" s="57"/>
      <c r="W179" s="1"/>
      <c r="X179" s="59"/>
      <c r="Y179" s="59" t="s">
        <v>306</v>
      </c>
      <c r="Z179" s="43" t="s">
        <v>306</v>
      </c>
      <c r="AA179" s="43" t="s">
        <v>306</v>
      </c>
      <c r="AB179" s="59" t="s">
        <v>306</v>
      </c>
      <c r="AC179" s="59" t="s">
        <v>306</v>
      </c>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43"/>
      <c r="AZ179" s="43"/>
      <c r="BA179" s="43"/>
      <c r="BB179" s="43"/>
      <c r="BC179" s="43"/>
      <c r="BD179" s="43"/>
      <c r="BE179" s="43"/>
      <c r="BF179" s="43"/>
      <c r="BG179" s="43"/>
    </row>
    <row r="180" spans="2:59" ht="12.75">
      <c r="B180" s="12" t="s">
        <v>554</v>
      </c>
      <c r="C180" s="1">
        <f>E180*(VLOOKUP(D180,Race,2,FALSE)*(N180*init_bonus+O180+P180*front+Q180*Back+R180+S180*armour+SUM(T180:V180))*(Thrust_base+(I180/J180)/Thrust_div)*POWER(W180,Weapon_power))/(POWER(signature,(L180-M180)))*IF(K180="Y",gravitic,1)*IF(H180="Y",agile,1)/divisor</f>
        <v>0</v>
      </c>
      <c r="D180" s="1" t="s">
        <v>543</v>
      </c>
      <c r="E180" s="57">
        <v>1</v>
      </c>
      <c r="F180" s="57"/>
      <c r="G180" s="58">
        <f>C$182*F180</f>
        <v>0</v>
      </c>
      <c r="H180" s="52" t="s">
        <v>21</v>
      </c>
      <c r="I180" s="52">
        <v>16</v>
      </c>
      <c r="J180" s="52">
        <v>5</v>
      </c>
      <c r="K180" s="57" t="s">
        <v>2</v>
      </c>
      <c r="L180" s="57"/>
      <c r="M180" s="57">
        <v>8</v>
      </c>
      <c r="N180" s="57">
        <v>0</v>
      </c>
      <c r="O180" s="57">
        <v>65</v>
      </c>
      <c r="P180" s="57">
        <v>54</v>
      </c>
      <c r="Q180" s="57">
        <v>54</v>
      </c>
      <c r="R180" s="57">
        <v>68</v>
      </c>
      <c r="S180" s="57"/>
      <c r="T180" s="57"/>
      <c r="U180" s="57"/>
      <c r="V180" s="57"/>
      <c r="W180" s="1">
        <f>SUM(X180:BD180)*(num_weapons_base+num_weapons_mod*COUNT(X180:BD180))</f>
        <v>0</v>
      </c>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43"/>
      <c r="AZ180" s="43"/>
      <c r="BA180" s="43"/>
      <c r="BB180" s="43"/>
      <c r="BC180" s="43"/>
      <c r="BD180" s="43"/>
      <c r="BE180" s="43"/>
      <c r="BF180" s="43"/>
      <c r="BG180" s="43"/>
    </row>
    <row r="181" spans="2:59" ht="12.75">
      <c r="B181" s="12"/>
      <c r="C181" s="42"/>
      <c r="D181" s="42"/>
      <c r="E181" s="57"/>
      <c r="F181" s="57"/>
      <c r="G181" s="58"/>
      <c r="H181" s="5"/>
      <c r="I181" s="5"/>
      <c r="J181" s="5"/>
      <c r="K181" s="57"/>
      <c r="L181" s="57"/>
      <c r="M181" s="57"/>
      <c r="N181" s="57"/>
      <c r="O181" s="57"/>
      <c r="P181" s="57"/>
      <c r="Q181" s="57"/>
      <c r="R181" s="57"/>
      <c r="S181" s="57"/>
      <c r="T181" s="57"/>
      <c r="U181" s="57"/>
      <c r="V181" s="57"/>
      <c r="W181" s="1"/>
      <c r="X181" s="54" t="s">
        <v>69</v>
      </c>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43"/>
      <c r="AZ181" s="43"/>
      <c r="BA181" s="43"/>
      <c r="BB181" s="43"/>
      <c r="BC181" s="43"/>
      <c r="BD181" s="43"/>
      <c r="BE181" s="43"/>
      <c r="BF181" s="43"/>
      <c r="BG181" s="43"/>
    </row>
    <row r="182" spans="2:59" ht="12.75">
      <c r="B182" s="12" t="s">
        <v>69</v>
      </c>
      <c r="C182" s="1">
        <f>E182*(VLOOKUP(D182,Race,2,FALSE)*(N182*init_bonus+O182+P182*front+Q182*Back+R182+S182*armour+SUM(T182:V182))*(Thrust_base+(I182/J182)/Thrust_div)*POWER(W182,Weapon_power))/(POWER(signature,(L182-M182)))*IF(K182="Y",gravitic,1)*IF(H182="Y",agile,1)/divisor</f>
        <v>6.182471172861367</v>
      </c>
      <c r="D182" s="1" t="s">
        <v>543</v>
      </c>
      <c r="E182" s="57">
        <v>1</v>
      </c>
      <c r="F182" s="57"/>
      <c r="G182" s="58">
        <v>0</v>
      </c>
      <c r="H182" s="52" t="s">
        <v>2</v>
      </c>
      <c r="I182" s="52">
        <v>12</v>
      </c>
      <c r="J182" s="52">
        <v>1</v>
      </c>
      <c r="K182" s="57" t="s">
        <v>2</v>
      </c>
      <c r="L182" s="57">
        <v>-6</v>
      </c>
      <c r="M182" s="57">
        <v>2</v>
      </c>
      <c r="N182" s="57">
        <v>20</v>
      </c>
      <c r="O182" s="57">
        <v>3</v>
      </c>
      <c r="P182" s="57">
        <v>0</v>
      </c>
      <c r="Q182" s="57">
        <v>0</v>
      </c>
      <c r="R182" s="57">
        <v>0</v>
      </c>
      <c r="S182" s="57">
        <v>0</v>
      </c>
      <c r="T182" s="57"/>
      <c r="U182" s="57"/>
      <c r="V182" s="57"/>
      <c r="W182" s="1">
        <f>SUM(X182:BD182)*(num_weapons_base+num_weapons_mod*COUNT(X182:BD182))</f>
        <v>3.8610000000000007</v>
      </c>
      <c r="X182" s="60">
        <f>VLOOKUP(X181,weapon,2,FALSE)</f>
        <v>3.8610000000000007</v>
      </c>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43"/>
      <c r="AZ182" s="43"/>
      <c r="BA182" s="43"/>
      <c r="BB182" s="43"/>
      <c r="BC182" s="43"/>
      <c r="BD182" s="43"/>
      <c r="BE182" s="43"/>
      <c r="BF182" s="43"/>
      <c r="BG182" s="43"/>
    </row>
    <row r="183" spans="2:59" ht="12.75">
      <c r="B183" s="12"/>
      <c r="C183" s="42"/>
      <c r="D183" s="42"/>
      <c r="E183" s="57"/>
      <c r="F183" s="57"/>
      <c r="G183" s="58"/>
      <c r="H183" s="5"/>
      <c r="I183" s="5"/>
      <c r="J183" s="5"/>
      <c r="K183" s="57"/>
      <c r="L183" s="57"/>
      <c r="M183" s="57"/>
      <c r="N183" s="57"/>
      <c r="O183" s="57"/>
      <c r="P183" s="57"/>
      <c r="Q183" s="57"/>
      <c r="R183" s="57"/>
      <c r="S183" s="57"/>
      <c r="T183" s="57"/>
      <c r="U183" s="57"/>
      <c r="V183" s="57"/>
      <c r="W183" s="1"/>
      <c r="X183" s="54" t="s">
        <v>84</v>
      </c>
      <c r="Y183" s="54" t="s">
        <v>62</v>
      </c>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43"/>
      <c r="AZ183" s="43"/>
      <c r="BA183" s="43"/>
      <c r="BB183" s="43"/>
      <c r="BC183" s="43"/>
      <c r="BD183" s="43"/>
      <c r="BE183" s="43"/>
      <c r="BF183" s="43"/>
      <c r="BG183" s="43"/>
    </row>
    <row r="184" spans="2:59" ht="12.75">
      <c r="B184" s="12" t="s">
        <v>63</v>
      </c>
      <c r="C184" s="1">
        <f>E184*(VLOOKUP(D184,Race,2,FALSE)*(N184*init_bonus+O184+P184*front+Q184*Back+R184+S184*armour+SUM(T184:V184))*(Thrust_base+(I184/J184)/Thrust_div)*POWER(W184,Weapon_power))/(POWER(signature,(L184-M184)))*IF(K184="Y",gravitic,1)*IF(H184="Y",agile,1)/divisor</f>
        <v>12.144920665182457</v>
      </c>
      <c r="D184" s="1" t="s">
        <v>543</v>
      </c>
      <c r="E184" s="57">
        <v>1</v>
      </c>
      <c r="F184" s="57"/>
      <c r="G184" s="58">
        <v>0</v>
      </c>
      <c r="H184" s="52" t="s">
        <v>2</v>
      </c>
      <c r="I184" s="52">
        <v>10</v>
      </c>
      <c r="J184" s="52">
        <v>1</v>
      </c>
      <c r="K184" s="57" t="s">
        <v>2</v>
      </c>
      <c r="L184" s="57">
        <v>-3</v>
      </c>
      <c r="M184" s="57">
        <v>3</v>
      </c>
      <c r="N184" s="57">
        <v>16</v>
      </c>
      <c r="O184" s="57">
        <v>4</v>
      </c>
      <c r="P184" s="57">
        <v>0</v>
      </c>
      <c r="Q184" s="57">
        <v>0</v>
      </c>
      <c r="R184" s="57">
        <v>0</v>
      </c>
      <c r="S184" s="57">
        <v>0</v>
      </c>
      <c r="T184" s="57"/>
      <c r="U184" s="57"/>
      <c r="V184" s="57"/>
      <c r="W184" s="1">
        <f>SUM(X184:BD184)*(num_weapons_base+num_weapons_mod*COUNT(X184:BD184))</f>
        <v>10.787511428571431</v>
      </c>
      <c r="X184" s="60">
        <f>VLOOKUP(X183,weapon,2,FALSE)</f>
        <v>6.5116071428571445</v>
      </c>
      <c r="Y184" s="60">
        <f>VLOOKUP(Y183,weapon,2,FALSE)</f>
        <v>3.8610000000000007</v>
      </c>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43"/>
      <c r="AZ184" s="43"/>
      <c r="BA184" s="43"/>
      <c r="BB184" s="43"/>
      <c r="BC184" s="43"/>
      <c r="BD184" s="43"/>
      <c r="BE184" s="43"/>
      <c r="BF184" s="43"/>
      <c r="BG184" s="43"/>
    </row>
    <row r="185" spans="1:59" s="191" customFormat="1" ht="12.75">
      <c r="A185" s="199" t="s">
        <v>555</v>
      </c>
      <c r="B185" s="197"/>
      <c r="C185" s="42"/>
      <c r="D185" s="192"/>
      <c r="E185" s="193"/>
      <c r="F185" s="193"/>
      <c r="G185" s="194"/>
      <c r="H185" s="198"/>
      <c r="I185" s="198"/>
      <c r="J185" s="198"/>
      <c r="K185" s="193"/>
      <c r="L185" s="193"/>
      <c r="M185" s="193"/>
      <c r="N185" s="193"/>
      <c r="O185" s="193"/>
      <c r="P185" s="193"/>
      <c r="Q185" s="193"/>
      <c r="R185" s="193"/>
      <c r="S185" s="193"/>
      <c r="T185" s="193"/>
      <c r="U185" s="193"/>
      <c r="V185" s="193"/>
      <c r="W185" s="190"/>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6"/>
      <c r="AZ185" s="196"/>
      <c r="BA185" s="196"/>
      <c r="BB185" s="196"/>
      <c r="BC185" s="196"/>
      <c r="BD185" s="196"/>
      <c r="BE185" s="196"/>
      <c r="BF185" s="196"/>
      <c r="BG185" s="196"/>
    </row>
    <row r="186" spans="2:59" s="191" customFormat="1" ht="12.75">
      <c r="B186" s="199"/>
      <c r="C186" s="1" t="e">
        <f>E186*(VLOOKUP(D186,Race,2,FALSE)*(N186*init_bonus+O186+P186*front+Q186*Back+R186+S186*armour+SUM(T186:V186))*(Thrust_base+(I186/J186)/Thrust_div)*POWER(W186,Weapon_power))/(POWER(signature,(L186-M186)))*IF(K186="Y",gravitic,1)*IF(H186="Y",agile,1)/divisor</f>
        <v>#N/A</v>
      </c>
      <c r="D186" s="198"/>
      <c r="E186" s="196"/>
      <c r="F186" s="196"/>
      <c r="G186" s="200"/>
      <c r="H186" s="195"/>
      <c r="I186" s="195"/>
      <c r="J186" s="195"/>
      <c r="K186" s="196"/>
      <c r="L186" s="196"/>
      <c r="M186" s="196"/>
      <c r="N186" s="196"/>
      <c r="O186" s="196"/>
      <c r="P186" s="196"/>
      <c r="Q186" s="196"/>
      <c r="R186" s="196"/>
      <c r="S186" s="196"/>
      <c r="T186" s="196"/>
      <c r="U186" s="193" t="s">
        <v>961</v>
      </c>
      <c r="V186" s="196"/>
      <c r="W186" s="190">
        <f>SUM(X186:BD186)*(num_weapons_base+num_weapons_mod*COUNT(X186:BD186))</f>
        <v>0</v>
      </c>
      <c r="X186" s="196"/>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96"/>
      <c r="AW186" s="196"/>
      <c r="AX186" s="196"/>
      <c r="AY186" s="196"/>
      <c r="AZ186" s="196"/>
      <c r="BA186" s="196"/>
      <c r="BB186" s="196"/>
      <c r="BC186" s="196"/>
      <c r="BD186" s="196"/>
      <c r="BE186" s="196"/>
      <c r="BF186" s="196"/>
      <c r="BG186" s="196"/>
    </row>
    <row r="187" spans="1:59" s="191" customFormat="1" ht="12.75">
      <c r="A187" s="141"/>
      <c r="B187" s="135"/>
      <c r="C187" s="42"/>
      <c r="D187" s="214"/>
      <c r="E187" s="136"/>
      <c r="F187" s="136"/>
      <c r="G187" s="215"/>
      <c r="H187" s="214"/>
      <c r="I187" s="214"/>
      <c r="J187" s="214"/>
      <c r="K187" s="136"/>
      <c r="L187" s="136"/>
      <c r="M187" s="136"/>
      <c r="N187" s="136"/>
      <c r="O187" s="136"/>
      <c r="P187" s="136"/>
      <c r="Q187" s="136"/>
      <c r="R187" s="136"/>
      <c r="S187" s="136"/>
      <c r="T187" s="136"/>
      <c r="U187" s="136" t="s">
        <v>460</v>
      </c>
      <c r="V187" s="136"/>
      <c r="W187" s="216"/>
      <c r="X187" s="43" t="s">
        <v>391</v>
      </c>
      <c r="Y187" s="43" t="s">
        <v>391</v>
      </c>
      <c r="Z187" s="43" t="s">
        <v>391</v>
      </c>
      <c r="AA187" s="43" t="s">
        <v>391</v>
      </c>
      <c r="AB187" s="43" t="s">
        <v>389</v>
      </c>
      <c r="AC187" s="43" t="s">
        <v>375</v>
      </c>
      <c r="AD187" s="43" t="s">
        <v>375</v>
      </c>
      <c r="AE187" s="43" t="s">
        <v>372</v>
      </c>
      <c r="AF187" s="43" t="s">
        <v>372</v>
      </c>
      <c r="AG187" s="43" t="s">
        <v>296</v>
      </c>
      <c r="AH187" s="43" t="s">
        <v>296</v>
      </c>
      <c r="AI187" s="59"/>
      <c r="AJ187" s="59"/>
      <c r="AK187" s="59"/>
      <c r="AL187" s="59"/>
      <c r="AM187" s="59"/>
      <c r="AN187" s="59"/>
      <c r="AO187" s="59"/>
      <c r="AP187" s="59"/>
      <c r="AQ187" s="59"/>
      <c r="AR187" s="59"/>
      <c r="AS187" s="59"/>
      <c r="AT187" s="59"/>
      <c r="AU187" s="59"/>
      <c r="AV187" s="59"/>
      <c r="AW187" s="59"/>
      <c r="AX187" s="59"/>
      <c r="AY187" s="43"/>
      <c r="AZ187" s="43"/>
      <c r="BA187" s="43"/>
      <c r="BB187" s="43"/>
      <c r="BC187" s="43"/>
      <c r="BD187" s="43"/>
      <c r="BE187" s="43"/>
      <c r="BF187" s="43"/>
      <c r="BG187" s="43"/>
    </row>
    <row r="188" spans="2:59" ht="12.75">
      <c r="B188" s="12" t="s">
        <v>556</v>
      </c>
      <c r="C188" s="1">
        <f>E188*(VLOOKUP(D188,Race,2,FALSE)*(N188*init_bonus+O188+P188*front+Q188*Back+R188+S188*armour+SUM(T188:V188))*(Thrust_base+(I188/J188)/Thrust_div)*POWER(W188,Weapon_power))/(POWER(signature,(L188-M188)))*IF(K188="Y",gravitic,1)*IF(H188="Y",agile,1)/divisor</f>
        <v>195.4724005822905</v>
      </c>
      <c r="D188" s="1" t="s">
        <v>555</v>
      </c>
      <c r="E188" s="57">
        <v>1</v>
      </c>
      <c r="F188" s="57">
        <v>12</v>
      </c>
      <c r="G188" s="58">
        <f>C210+F188*C212</f>
        <v>107.24271804541904</v>
      </c>
      <c r="H188" s="52" t="s">
        <v>21</v>
      </c>
      <c r="I188" s="52">
        <v>8</v>
      </c>
      <c r="J188" s="52">
        <v>3</v>
      </c>
      <c r="K188" s="57" t="s">
        <v>21</v>
      </c>
      <c r="L188" s="57">
        <v>13</v>
      </c>
      <c r="M188" s="57">
        <v>9</v>
      </c>
      <c r="N188" s="57">
        <v>2</v>
      </c>
      <c r="O188" s="57">
        <v>36</v>
      </c>
      <c r="P188" s="57">
        <v>48</v>
      </c>
      <c r="Q188" s="57">
        <v>0</v>
      </c>
      <c r="R188" s="57">
        <v>44</v>
      </c>
      <c r="S188" s="57">
        <v>3</v>
      </c>
      <c r="T188" s="57"/>
      <c r="U188" s="57"/>
      <c r="V188" s="57"/>
      <c r="W188" s="1">
        <f>SUM(X188:BD188)*(num_weapons_base+num_weapons_mod*COUNT(X188:BD188))</f>
        <v>210.57153413173654</v>
      </c>
      <c r="X188" s="60">
        <f aca="true" t="shared" si="61" ref="X188:AH188">VLOOKUP(X187,weapon,2,FALSE)</f>
        <v>17.24550898203593</v>
      </c>
      <c r="Y188" s="60">
        <f t="shared" si="61"/>
        <v>17.24550898203593</v>
      </c>
      <c r="Z188" s="60">
        <f t="shared" si="61"/>
        <v>17.24550898203593</v>
      </c>
      <c r="AA188" s="60">
        <f t="shared" si="61"/>
        <v>17.24550898203593</v>
      </c>
      <c r="AB188" s="60">
        <f t="shared" si="61"/>
        <v>18.970059880239525</v>
      </c>
      <c r="AC188" s="60">
        <f t="shared" si="61"/>
        <v>13.88571428571429</v>
      </c>
      <c r="AD188" s="60">
        <f t="shared" si="61"/>
        <v>13.88571428571429</v>
      </c>
      <c r="AE188" s="60">
        <f t="shared" si="61"/>
        <v>7.9695</v>
      </c>
      <c r="AF188" s="60">
        <f t="shared" si="61"/>
        <v>7.9695</v>
      </c>
      <c r="AG188" s="60">
        <f t="shared" si="61"/>
        <v>9.372857142857145</v>
      </c>
      <c r="AH188" s="60">
        <f t="shared" si="61"/>
        <v>9.372857142857145</v>
      </c>
      <c r="AI188" s="59"/>
      <c r="AJ188" s="59"/>
      <c r="AK188" s="59"/>
      <c r="AL188" s="59"/>
      <c r="AM188" s="59"/>
      <c r="AN188" s="59"/>
      <c r="AO188" s="59"/>
      <c r="AP188" s="59"/>
      <c r="AQ188" s="59"/>
      <c r="AR188" s="59"/>
      <c r="AS188" s="59"/>
      <c r="AT188" s="59"/>
      <c r="AU188" s="59"/>
      <c r="AV188" s="59"/>
      <c r="AW188" s="59"/>
      <c r="AX188" s="59"/>
      <c r="AY188" s="43"/>
      <c r="AZ188" s="43"/>
      <c r="BA188" s="43"/>
      <c r="BB188" s="43"/>
      <c r="BC188" s="43"/>
      <c r="BD188" s="43"/>
      <c r="BE188" s="43"/>
      <c r="BF188" s="43"/>
      <c r="BG188" s="43"/>
    </row>
    <row r="189" spans="2:59" ht="12.75">
      <c r="B189" s="12"/>
      <c r="C189" s="42"/>
      <c r="D189" s="42"/>
      <c r="E189" s="57"/>
      <c r="F189" s="57"/>
      <c r="G189" s="58"/>
      <c r="H189" s="5"/>
      <c r="I189" s="5"/>
      <c r="J189" s="5"/>
      <c r="K189" s="57"/>
      <c r="L189" s="57"/>
      <c r="M189" s="57"/>
      <c r="N189" s="57"/>
      <c r="O189" s="57"/>
      <c r="P189" s="57"/>
      <c r="Q189" s="57"/>
      <c r="R189" s="57"/>
      <c r="S189" s="57"/>
      <c r="T189" s="57"/>
      <c r="U189" s="57"/>
      <c r="V189" s="57"/>
      <c r="W189" s="1"/>
      <c r="X189" s="43" t="s">
        <v>384</v>
      </c>
      <c r="Y189" s="43" t="s">
        <v>384</v>
      </c>
      <c r="Z189" s="43" t="s">
        <v>384</v>
      </c>
      <c r="AA189" s="43" t="s">
        <v>384</v>
      </c>
      <c r="AB189" s="43" t="s">
        <v>384</v>
      </c>
      <c r="AC189" s="43" t="s">
        <v>380</v>
      </c>
      <c r="AD189" s="43" t="s">
        <v>380</v>
      </c>
      <c r="AE189" s="43" t="s">
        <v>296</v>
      </c>
      <c r="AF189" s="43" t="s">
        <v>296</v>
      </c>
      <c r="AG189" s="59"/>
      <c r="AH189" s="59"/>
      <c r="AI189" s="59"/>
      <c r="AJ189" s="59"/>
      <c r="AK189" s="59"/>
      <c r="AL189" s="59"/>
      <c r="AM189" s="59"/>
      <c r="AN189" s="59"/>
      <c r="AO189" s="59"/>
      <c r="AP189" s="59"/>
      <c r="AQ189" s="59"/>
      <c r="AR189" s="59"/>
      <c r="AS189" s="59"/>
      <c r="AT189" s="59"/>
      <c r="AU189" s="59"/>
      <c r="AV189" s="59"/>
      <c r="AW189" s="59"/>
      <c r="AX189" s="59"/>
      <c r="AY189" s="43"/>
      <c r="AZ189" s="43"/>
      <c r="BA189" s="43"/>
      <c r="BB189" s="43"/>
      <c r="BC189" s="43"/>
      <c r="BD189" s="43"/>
      <c r="BE189" s="43"/>
      <c r="BF189" s="43"/>
      <c r="BG189" s="43"/>
    </row>
    <row r="190" spans="2:59" ht="12.75">
      <c r="B190" s="12" t="s">
        <v>564</v>
      </c>
      <c r="C190" s="1">
        <f>E190*(VLOOKUP(D190,Race,2,FALSE)*(N190*init_bonus+O190+P190*front+Q190*Back+R190+S190*armour+SUM(T190:V190))*(Thrust_base+(I190/J190)/Thrust_div)*POWER(W190,Weapon_power))/(POWER(signature,(L190-M190)))*IF(K190="Y",gravitic,1)*IF(H190="Y",agile,1)/divisor</f>
        <v>197.8482992660719</v>
      </c>
      <c r="D190" s="1" t="s">
        <v>555</v>
      </c>
      <c r="E190" s="57">
        <v>1</v>
      </c>
      <c r="F190" s="57">
        <v>12</v>
      </c>
      <c r="G190" s="58">
        <f>3*C210+F190*C212</f>
        <v>142.05693081938966</v>
      </c>
      <c r="H190" s="52" t="s">
        <v>21</v>
      </c>
      <c r="I190" s="52">
        <v>8</v>
      </c>
      <c r="J190" s="52">
        <v>3</v>
      </c>
      <c r="K190" s="57" t="s">
        <v>21</v>
      </c>
      <c r="L190" s="57">
        <v>14</v>
      </c>
      <c r="M190" s="57">
        <v>8</v>
      </c>
      <c r="N190" s="57">
        <v>2</v>
      </c>
      <c r="O190" s="57">
        <v>36</v>
      </c>
      <c r="P190" s="57">
        <v>0</v>
      </c>
      <c r="Q190" s="57">
        <v>0</v>
      </c>
      <c r="R190" s="57">
        <v>44</v>
      </c>
      <c r="S190" s="57">
        <v>3</v>
      </c>
      <c r="T190" s="57"/>
      <c r="U190" s="57"/>
      <c r="V190" s="57"/>
      <c r="W190" s="1">
        <f>SUM(X190:BD190)*(num_weapons_base+num_weapons_mod*COUNT(X190:BD190))</f>
        <v>307.61053714285725</v>
      </c>
      <c r="X190" s="60">
        <f aca="true" t="shared" si="62" ref="X190:AF190">VLOOKUP(X189,weapon,2,FALSE)</f>
        <v>27.38057142857144</v>
      </c>
      <c r="Y190" s="60">
        <f t="shared" si="62"/>
        <v>27.38057142857144</v>
      </c>
      <c r="Z190" s="60">
        <f t="shared" si="62"/>
        <v>27.38057142857144</v>
      </c>
      <c r="AA190" s="60">
        <f t="shared" si="62"/>
        <v>27.38057142857144</v>
      </c>
      <c r="AB190" s="60">
        <f t="shared" si="62"/>
        <v>27.38057142857144</v>
      </c>
      <c r="AC190" s="60">
        <f t="shared" si="62"/>
        <v>38.69485714285715</v>
      </c>
      <c r="AD190" s="60">
        <f t="shared" si="62"/>
        <v>38.69485714285715</v>
      </c>
      <c r="AE190" s="60">
        <f t="shared" si="62"/>
        <v>9.372857142857145</v>
      </c>
      <c r="AF190" s="60">
        <f t="shared" si="62"/>
        <v>9.372857142857145</v>
      </c>
      <c r="AG190" s="59"/>
      <c r="AH190" s="59"/>
      <c r="AI190" s="59"/>
      <c r="AJ190" s="59"/>
      <c r="AK190" s="59"/>
      <c r="AL190" s="59"/>
      <c r="AM190" s="59"/>
      <c r="AN190" s="59"/>
      <c r="AO190" s="59"/>
      <c r="AP190" s="59"/>
      <c r="AQ190" s="59"/>
      <c r="AR190" s="59"/>
      <c r="AS190" s="59"/>
      <c r="AT190" s="59"/>
      <c r="AU190" s="59"/>
      <c r="AV190" s="59"/>
      <c r="AW190" s="59"/>
      <c r="AX190" s="59"/>
      <c r="AY190" s="43"/>
      <c r="AZ190" s="43"/>
      <c r="BA190" s="43"/>
      <c r="BB190" s="43"/>
      <c r="BC190" s="43"/>
      <c r="BD190" s="43"/>
      <c r="BE190" s="43"/>
      <c r="BF190" s="43"/>
      <c r="BG190" s="43"/>
    </row>
    <row r="191" spans="2:59" ht="12.75">
      <c r="B191" s="12"/>
      <c r="C191" s="42"/>
      <c r="D191" s="42"/>
      <c r="E191" s="57"/>
      <c r="F191" s="57"/>
      <c r="G191" s="58"/>
      <c r="H191" s="5"/>
      <c r="I191" s="5"/>
      <c r="J191" s="5"/>
      <c r="K191" s="57"/>
      <c r="L191" s="57"/>
      <c r="M191" s="57"/>
      <c r="N191" s="57"/>
      <c r="O191" s="57"/>
      <c r="P191" s="57"/>
      <c r="Q191" s="57"/>
      <c r="R191" s="57"/>
      <c r="S191" s="57"/>
      <c r="T191" s="57"/>
      <c r="U191" s="57"/>
      <c r="V191" s="57"/>
      <c r="W191" s="1"/>
      <c r="X191" s="43" t="s">
        <v>375</v>
      </c>
      <c r="Y191" s="43" t="s">
        <v>375</v>
      </c>
      <c r="Z191" s="43" t="s">
        <v>384</v>
      </c>
      <c r="AA191" s="43" t="s">
        <v>384</v>
      </c>
      <c r="AB191" s="43" t="s">
        <v>396</v>
      </c>
      <c r="AC191" s="43" t="s">
        <v>396</v>
      </c>
      <c r="AD191" s="43" t="s">
        <v>396</v>
      </c>
      <c r="AE191" s="59"/>
      <c r="AF191" s="59"/>
      <c r="AG191" s="59"/>
      <c r="AH191" s="59"/>
      <c r="AI191" s="59"/>
      <c r="AJ191" s="59"/>
      <c r="AK191" s="59"/>
      <c r="AL191" s="59"/>
      <c r="AM191" s="59"/>
      <c r="AN191" s="59"/>
      <c r="AO191" s="59"/>
      <c r="AP191" s="59"/>
      <c r="AQ191" s="59"/>
      <c r="AR191" s="59"/>
      <c r="AS191" s="59"/>
      <c r="AT191" s="59"/>
      <c r="AU191" s="59"/>
      <c r="AV191" s="59"/>
      <c r="AW191" s="59"/>
      <c r="AX191" s="59"/>
      <c r="AY191" s="43"/>
      <c r="AZ191" s="43"/>
      <c r="BA191" s="43"/>
      <c r="BB191" s="43"/>
      <c r="BC191" s="43"/>
      <c r="BD191" s="43"/>
      <c r="BE191" s="43"/>
      <c r="BF191" s="43"/>
      <c r="BG191" s="43"/>
    </row>
    <row r="192" spans="2:59" ht="12.75">
      <c r="B192" s="12" t="s">
        <v>558</v>
      </c>
      <c r="C192" s="1">
        <f>E192*(VLOOKUP(D192,Race,2,FALSE)*(N192*init_bonus+O192+P192*front+Q192*Back+R192+S192*armour+SUM(T192:V192))*(Thrust_base+(I192/J192)/Thrust_div)*POWER(W192,Weapon_power))/(POWER(signature,(L192-M192)))*IF(K192="Y",gravitic,1)*IF(H192="Y",agile,1)/divisor</f>
        <v>149.0434220469294</v>
      </c>
      <c r="D192" s="1" t="s">
        <v>555</v>
      </c>
      <c r="E192" s="57">
        <v>1</v>
      </c>
      <c r="F192" s="57"/>
      <c r="G192" s="58">
        <f>C206*F192</f>
        <v>0</v>
      </c>
      <c r="H192" s="52" t="s">
        <v>21</v>
      </c>
      <c r="I192" s="52">
        <v>8</v>
      </c>
      <c r="J192" s="52">
        <v>2</v>
      </c>
      <c r="K192" s="57" t="s">
        <v>21</v>
      </c>
      <c r="L192" s="57">
        <v>8</v>
      </c>
      <c r="M192" s="57">
        <v>6</v>
      </c>
      <c r="N192" s="57">
        <v>8</v>
      </c>
      <c r="O192" s="57">
        <v>36</v>
      </c>
      <c r="P192" s="57">
        <v>0</v>
      </c>
      <c r="Q192" s="57">
        <v>0</v>
      </c>
      <c r="R192" s="57">
        <v>44</v>
      </c>
      <c r="S192" s="57">
        <v>3</v>
      </c>
      <c r="T192" s="57"/>
      <c r="U192" s="57">
        <v>4</v>
      </c>
      <c r="V192" s="57"/>
      <c r="W192" s="1">
        <f>SUM(X192:BD192)*(num_weapons_base+num_weapons_mod*COUNT(X192:BD192))</f>
        <v>139.62873857142864</v>
      </c>
      <c r="X192" s="60">
        <f aca="true" t="shared" si="63" ref="X192:AD192">VLOOKUP(X191,weapon,2,FALSE)</f>
        <v>13.88571428571429</v>
      </c>
      <c r="Y192" s="60">
        <f t="shared" si="63"/>
        <v>13.88571428571429</v>
      </c>
      <c r="Z192" s="60">
        <f t="shared" si="63"/>
        <v>27.38057142857144</v>
      </c>
      <c r="AA192" s="60">
        <f t="shared" si="63"/>
        <v>27.38057142857144</v>
      </c>
      <c r="AB192" s="60">
        <f t="shared" si="63"/>
        <v>10.023750000000001</v>
      </c>
      <c r="AC192" s="60">
        <f t="shared" si="63"/>
        <v>10.023750000000001</v>
      </c>
      <c r="AD192" s="60">
        <f t="shared" si="63"/>
        <v>10.023750000000001</v>
      </c>
      <c r="AE192" s="59"/>
      <c r="AF192" s="59"/>
      <c r="AG192" s="59"/>
      <c r="AH192" s="59"/>
      <c r="AI192" s="59"/>
      <c r="AJ192" s="59"/>
      <c r="AK192" s="59"/>
      <c r="AL192" s="59"/>
      <c r="AM192" s="59"/>
      <c r="AN192" s="59"/>
      <c r="AO192" s="59"/>
      <c r="AP192" s="59"/>
      <c r="AQ192" s="59"/>
      <c r="AR192" s="59"/>
      <c r="AS192" s="59"/>
      <c r="AT192" s="59"/>
      <c r="AU192" s="59"/>
      <c r="AV192" s="59"/>
      <c r="AW192" s="59"/>
      <c r="AX192" s="59"/>
      <c r="AY192" s="43"/>
      <c r="AZ192" s="43"/>
      <c r="BA192" s="43"/>
      <c r="BB192" s="43"/>
      <c r="BC192" s="43"/>
      <c r="BD192" s="43"/>
      <c r="BE192" s="43"/>
      <c r="BF192" s="43"/>
      <c r="BG192" s="43"/>
    </row>
    <row r="193" spans="2:59" ht="12.75">
      <c r="B193" s="32"/>
      <c r="C193" s="42"/>
      <c r="D193" s="42"/>
      <c r="E193" s="57"/>
      <c r="F193" s="57"/>
      <c r="G193" s="58"/>
      <c r="H193" s="5"/>
      <c r="I193" s="5"/>
      <c r="J193" s="5"/>
      <c r="K193" s="57"/>
      <c r="L193" s="57"/>
      <c r="M193" s="57"/>
      <c r="N193" s="57"/>
      <c r="O193" s="57"/>
      <c r="P193" s="57"/>
      <c r="Q193" s="57"/>
      <c r="R193" s="57"/>
      <c r="S193" s="57"/>
      <c r="T193" s="57"/>
      <c r="U193" s="57"/>
      <c r="V193" s="57"/>
      <c r="W193" s="1"/>
      <c r="X193" s="43" t="s">
        <v>391</v>
      </c>
      <c r="Y193" s="43" t="s">
        <v>391</v>
      </c>
      <c r="Z193" s="43" t="s">
        <v>391</v>
      </c>
      <c r="AA193" s="43" t="s">
        <v>391</v>
      </c>
      <c r="AB193" s="43" t="s">
        <v>396</v>
      </c>
      <c r="AC193" s="43"/>
      <c r="AD193" s="43"/>
      <c r="AE193" s="59"/>
      <c r="AF193" s="59"/>
      <c r="AG193" s="59"/>
      <c r="AH193" s="59"/>
      <c r="AI193" s="59"/>
      <c r="AJ193" s="59"/>
      <c r="AK193" s="59"/>
      <c r="AL193" s="59"/>
      <c r="AM193" s="59"/>
      <c r="AN193" s="59"/>
      <c r="AO193" s="59"/>
      <c r="AP193" s="59"/>
      <c r="AQ193" s="59"/>
      <c r="AR193" s="59"/>
      <c r="AS193" s="59"/>
      <c r="AT193" s="59"/>
      <c r="AU193" s="59"/>
      <c r="AV193" s="59"/>
      <c r="AW193" s="59"/>
      <c r="AX193" s="59"/>
      <c r="AY193" s="43"/>
      <c r="AZ193" s="43"/>
      <c r="BA193" s="43"/>
      <c r="BB193" s="43"/>
      <c r="BC193" s="43"/>
      <c r="BD193" s="43"/>
      <c r="BE193" s="43"/>
      <c r="BF193" s="43"/>
      <c r="BG193" s="43"/>
    </row>
    <row r="194" spans="2:59" ht="12.75">
      <c r="B194" s="12" t="s">
        <v>689</v>
      </c>
      <c r="C194" s="1">
        <f>E194*(VLOOKUP(D194,Race,2,FALSE)*(N194*init_bonus+O194+P194*front+Q194*Back+R194+S194*armour+SUM(T194:V194))*(Thrust_base+(I194/J194)/Thrust_div)*POWER(W194,Weapon_power))/(POWER(signature,(L194-M194)))*IF(K194="Y",gravitic,1)*IF(H194="Y",agile,1)/divisor</f>
        <v>118.30612974251463</v>
      </c>
      <c r="D194" s="1" t="s">
        <v>555</v>
      </c>
      <c r="E194" s="57">
        <v>1</v>
      </c>
      <c r="F194" s="57"/>
      <c r="G194" s="58">
        <v>0</v>
      </c>
      <c r="H194" s="52" t="s">
        <v>21</v>
      </c>
      <c r="I194" s="52">
        <v>9</v>
      </c>
      <c r="J194" s="52">
        <v>2</v>
      </c>
      <c r="K194" s="57" t="s">
        <v>21</v>
      </c>
      <c r="L194" s="57">
        <v>6</v>
      </c>
      <c r="M194" s="57">
        <v>6</v>
      </c>
      <c r="N194" s="57">
        <v>8</v>
      </c>
      <c r="O194" s="57">
        <v>36</v>
      </c>
      <c r="P194" s="57">
        <v>0</v>
      </c>
      <c r="Q194" s="57">
        <v>0</v>
      </c>
      <c r="R194" s="57">
        <v>44</v>
      </c>
      <c r="S194" s="57">
        <v>3</v>
      </c>
      <c r="T194" s="57"/>
      <c r="U194" s="57">
        <v>12</v>
      </c>
      <c r="V194" s="57"/>
      <c r="W194" s="1">
        <f>SUM(X194:BD194)*(num_weapons_base+num_weapons_mod*COUNT(X194:BD194))</f>
        <v>91.64671167664672</v>
      </c>
      <c r="X194" s="60">
        <f>VLOOKUP(X193,weapon,2,FALSE)</f>
        <v>17.24550898203593</v>
      </c>
      <c r="Y194" s="60">
        <f>VLOOKUP(Y193,weapon,2,FALSE)</f>
        <v>17.24550898203593</v>
      </c>
      <c r="Z194" s="60">
        <f>VLOOKUP(Z193,weapon,2,FALSE)</f>
        <v>17.24550898203593</v>
      </c>
      <c r="AA194" s="60">
        <f>VLOOKUP(AA193,weapon,2,FALSE)</f>
        <v>17.24550898203593</v>
      </c>
      <c r="AB194" s="60">
        <f>VLOOKUP(AB193,weapon,2,FALSE)</f>
        <v>10.023750000000001</v>
      </c>
      <c r="AC194" s="60"/>
      <c r="AD194" s="60"/>
      <c r="AE194" s="59"/>
      <c r="AF194" s="59"/>
      <c r="AG194" s="59"/>
      <c r="AH194" s="59"/>
      <c r="AI194" s="59"/>
      <c r="AJ194" s="59"/>
      <c r="AK194" s="59"/>
      <c r="AL194" s="59"/>
      <c r="AM194" s="59"/>
      <c r="AN194" s="59"/>
      <c r="AO194" s="59"/>
      <c r="AP194" s="59"/>
      <c r="AQ194" s="59"/>
      <c r="AR194" s="59"/>
      <c r="AS194" s="59"/>
      <c r="AT194" s="59"/>
      <c r="AU194" s="59"/>
      <c r="AV194" s="59"/>
      <c r="AW194" s="59"/>
      <c r="AX194" s="59"/>
      <c r="AY194" s="43"/>
      <c r="AZ194" s="43"/>
      <c r="BA194" s="43"/>
      <c r="BB194" s="43"/>
      <c r="BC194" s="43"/>
      <c r="BD194" s="43"/>
      <c r="BE194" s="43"/>
      <c r="BF194" s="43"/>
      <c r="BG194" s="43"/>
    </row>
    <row r="195" spans="2:59" ht="12.75">
      <c r="B195" s="32"/>
      <c r="C195" s="42"/>
      <c r="D195" s="42"/>
      <c r="E195" s="57"/>
      <c r="F195" s="57"/>
      <c r="G195" s="58"/>
      <c r="H195" s="5"/>
      <c r="I195" s="5"/>
      <c r="J195" s="5"/>
      <c r="K195" s="57"/>
      <c r="L195" s="57"/>
      <c r="M195" s="57"/>
      <c r="N195" s="57"/>
      <c r="O195" s="57"/>
      <c r="P195" s="57"/>
      <c r="Q195" s="57"/>
      <c r="R195" s="57"/>
      <c r="S195" s="57"/>
      <c r="T195" s="57"/>
      <c r="U195" s="57"/>
      <c r="V195" s="57"/>
      <c r="W195" s="1"/>
      <c r="X195" s="43" t="s">
        <v>373</v>
      </c>
      <c r="Y195" s="43" t="s">
        <v>394</v>
      </c>
      <c r="Z195" s="43" t="s">
        <v>394</v>
      </c>
      <c r="AA195" s="43" t="s">
        <v>394</v>
      </c>
      <c r="AB195" s="43" t="s">
        <v>394</v>
      </c>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43"/>
      <c r="AZ195" s="43"/>
      <c r="BA195" s="43"/>
      <c r="BB195" s="43"/>
      <c r="BC195" s="43"/>
      <c r="BD195" s="43"/>
      <c r="BE195" s="43"/>
      <c r="BF195" s="43"/>
      <c r="BG195" s="43"/>
    </row>
    <row r="196" spans="2:59" ht="12.75">
      <c r="B196" s="12" t="s">
        <v>560</v>
      </c>
      <c r="C196" s="1">
        <f>E196*(VLOOKUP(D196,Race,2,FALSE)*(N196*init_bonus+O196+P196*front+Q196*Back+R196+S196*armour+SUM(T196:V196))*(Thrust_base+(I196/J196)/Thrust_div)*POWER(W196,Weapon_power))/(POWER(signature,(L196-M196)))*IF(K196="Y",gravitic,1)*IF(H196="Y",agile,1)/divisor</f>
        <v>53.69145366367032</v>
      </c>
      <c r="D196" s="1" t="s">
        <v>555</v>
      </c>
      <c r="E196" s="57">
        <v>1</v>
      </c>
      <c r="F196" s="57"/>
      <c r="G196" s="58">
        <v>0</v>
      </c>
      <c r="H196" s="52" t="s">
        <v>2</v>
      </c>
      <c r="I196" s="52">
        <v>8</v>
      </c>
      <c r="J196" s="52">
        <v>2</v>
      </c>
      <c r="K196" s="57" t="s">
        <v>21</v>
      </c>
      <c r="L196" s="57">
        <v>4</v>
      </c>
      <c r="M196" s="57">
        <v>4</v>
      </c>
      <c r="N196" s="57">
        <v>8</v>
      </c>
      <c r="O196" s="57">
        <v>36</v>
      </c>
      <c r="P196" s="57">
        <v>0</v>
      </c>
      <c r="Q196" s="57">
        <v>0</v>
      </c>
      <c r="R196" s="57"/>
      <c r="S196" s="57">
        <v>2</v>
      </c>
      <c r="T196" s="57"/>
      <c r="U196" s="57"/>
      <c r="V196" s="57"/>
      <c r="W196" s="1">
        <f>SUM(X196:BD196)*(num_weapons_base+num_weapons_mod*COUNT(X196:BD196))</f>
        <v>70.49013428571429</v>
      </c>
      <c r="X196" s="60">
        <f>VLOOKUP(X195,weapon,2,FALSE)</f>
        <v>16.662857142857145</v>
      </c>
      <c r="Y196" s="60">
        <f>VLOOKUP(Y195,weapon,2,FALSE)</f>
        <v>11.026125000000002</v>
      </c>
      <c r="Z196" s="60">
        <f>VLOOKUP(Z195,weapon,2,FALSE)</f>
        <v>11.026125000000002</v>
      </c>
      <c r="AA196" s="60">
        <f>VLOOKUP(AA195,weapon,2,FALSE)</f>
        <v>11.026125000000002</v>
      </c>
      <c r="AB196" s="60">
        <f>VLOOKUP(AB195,weapon,2,FALSE)</f>
        <v>11.026125000000002</v>
      </c>
      <c r="AC196" s="60"/>
      <c r="AD196" s="60"/>
      <c r="AE196" s="59"/>
      <c r="AF196" s="59"/>
      <c r="AG196" s="59"/>
      <c r="AH196" s="59"/>
      <c r="AI196" s="59"/>
      <c r="AJ196" s="59"/>
      <c r="AK196" s="59"/>
      <c r="AL196" s="59"/>
      <c r="AM196" s="59"/>
      <c r="AN196" s="59"/>
      <c r="AO196" s="59"/>
      <c r="AP196" s="59"/>
      <c r="AQ196" s="59"/>
      <c r="AR196" s="59"/>
      <c r="AS196" s="59"/>
      <c r="AT196" s="59"/>
      <c r="AU196" s="59"/>
      <c r="AV196" s="59"/>
      <c r="AW196" s="59"/>
      <c r="AX196" s="59"/>
      <c r="AY196" s="43"/>
      <c r="AZ196" s="43"/>
      <c r="BA196" s="43"/>
      <c r="BB196" s="43"/>
      <c r="BC196" s="43"/>
      <c r="BD196" s="43"/>
      <c r="BE196" s="43"/>
      <c r="BF196" s="43"/>
      <c r="BG196" s="43"/>
    </row>
    <row r="197" spans="2:59" ht="12.75">
      <c r="B197" s="12"/>
      <c r="C197" s="42"/>
      <c r="D197" s="42"/>
      <c r="E197" s="57"/>
      <c r="F197" s="57"/>
      <c r="G197" s="58"/>
      <c r="H197" s="5"/>
      <c r="I197" s="5"/>
      <c r="J197" s="5"/>
      <c r="K197" s="57"/>
      <c r="L197" s="57"/>
      <c r="M197" s="57"/>
      <c r="N197" s="57"/>
      <c r="O197" s="57"/>
      <c r="P197" s="57"/>
      <c r="Q197" s="57"/>
      <c r="R197" s="57"/>
      <c r="S197" s="57"/>
      <c r="T197" s="57"/>
      <c r="U197" s="57"/>
      <c r="V197" s="57"/>
      <c r="W197" s="1"/>
      <c r="X197" s="43" t="s">
        <v>391</v>
      </c>
      <c r="Y197" s="43" t="s">
        <v>391</v>
      </c>
      <c r="Z197" s="43" t="s">
        <v>375</v>
      </c>
      <c r="AA197" s="43" t="s">
        <v>375</v>
      </c>
      <c r="AB197" s="43" t="s">
        <v>384</v>
      </c>
      <c r="AC197" s="43" t="s">
        <v>384</v>
      </c>
      <c r="AD197" s="43" t="s">
        <v>379</v>
      </c>
      <c r="AE197" s="43" t="s">
        <v>372</v>
      </c>
      <c r="AF197" s="43" t="s">
        <v>372</v>
      </c>
      <c r="AG197" s="43" t="s">
        <v>296</v>
      </c>
      <c r="AH197" s="43" t="s">
        <v>296</v>
      </c>
      <c r="AI197" s="59"/>
      <c r="AJ197" s="59"/>
      <c r="AK197" s="59"/>
      <c r="AL197" s="59"/>
      <c r="AM197" s="59"/>
      <c r="AN197" s="59"/>
      <c r="AO197" s="59"/>
      <c r="AP197" s="59"/>
      <c r="AQ197" s="59"/>
      <c r="AR197" s="59"/>
      <c r="AS197" s="59"/>
      <c r="AT197" s="59"/>
      <c r="AU197" s="59"/>
      <c r="AV197" s="59"/>
      <c r="AW197" s="59"/>
      <c r="AX197" s="59"/>
      <c r="AY197" s="43"/>
      <c r="AZ197" s="43"/>
      <c r="BA197" s="43"/>
      <c r="BB197" s="43"/>
      <c r="BC197" s="43"/>
      <c r="BD197" s="43"/>
      <c r="BE197" s="43"/>
      <c r="BF197" s="43"/>
      <c r="BG197" s="43"/>
    </row>
    <row r="198" spans="2:59" ht="12.75">
      <c r="B198" s="12" t="s">
        <v>563</v>
      </c>
      <c r="C198" s="1">
        <f>E198*(VLOOKUP(D198,Race,2,FALSE)*(N198*init_bonus+O198+P198*front+Q198*Back+R198+S198*armour+SUM(T198:V198))*(Thrust_base+(I198/J198)/Thrust_div)*POWER(W198,Weapon_power))/(POWER(signature,(L198-M198)))*IF(K198="Y",gravitic,1)*IF(H198="Y",agile,1)/divisor</f>
        <v>239.00044048861338</v>
      </c>
      <c r="D198" s="1" t="s">
        <v>555</v>
      </c>
      <c r="E198" s="57">
        <v>1</v>
      </c>
      <c r="F198" s="57">
        <v>12</v>
      </c>
      <c r="G198" s="58">
        <f>C210+F198*C212</f>
        <v>107.24271804541904</v>
      </c>
      <c r="H198" s="52" t="s">
        <v>21</v>
      </c>
      <c r="I198" s="52">
        <v>8</v>
      </c>
      <c r="J198" s="52">
        <v>3</v>
      </c>
      <c r="K198" s="57" t="s">
        <v>21</v>
      </c>
      <c r="L198" s="57">
        <v>13</v>
      </c>
      <c r="M198" s="57">
        <v>8</v>
      </c>
      <c r="N198" s="57">
        <v>2</v>
      </c>
      <c r="O198" s="57">
        <v>36</v>
      </c>
      <c r="P198" s="57">
        <v>48</v>
      </c>
      <c r="Q198" s="57">
        <v>0</v>
      </c>
      <c r="R198" s="57">
        <v>44</v>
      </c>
      <c r="S198" s="57">
        <v>3</v>
      </c>
      <c r="T198" s="57"/>
      <c r="U198" s="57"/>
      <c r="V198" s="57"/>
      <c r="W198" s="1">
        <f>SUM(X198:BD198)*(num_weapons_base+num_weapons_mod*COUNT(X198:BD198))</f>
        <v>271.9817051497007</v>
      </c>
      <c r="X198" s="60">
        <f aca="true" t="shared" si="64" ref="X198:AH198">VLOOKUP(X197,weapon,2,FALSE)</f>
        <v>17.24550898203593</v>
      </c>
      <c r="Y198" s="60">
        <f t="shared" si="64"/>
        <v>17.24550898203593</v>
      </c>
      <c r="Z198" s="60">
        <f t="shared" si="64"/>
        <v>13.88571428571429</v>
      </c>
      <c r="AA198" s="60">
        <f t="shared" si="64"/>
        <v>13.88571428571429</v>
      </c>
      <c r="AB198" s="60">
        <f t="shared" si="64"/>
        <v>27.38057142857144</v>
      </c>
      <c r="AC198" s="60">
        <f t="shared" si="64"/>
        <v>27.38057142857144</v>
      </c>
      <c r="AD198" s="60">
        <f t="shared" si="64"/>
        <v>42.56434285714287</v>
      </c>
      <c r="AE198" s="60">
        <f t="shared" si="64"/>
        <v>7.9695</v>
      </c>
      <c r="AF198" s="60">
        <f t="shared" si="64"/>
        <v>7.9695</v>
      </c>
      <c r="AG198" s="60">
        <f t="shared" si="64"/>
        <v>9.372857142857145</v>
      </c>
      <c r="AH198" s="60">
        <f t="shared" si="64"/>
        <v>9.372857142857145</v>
      </c>
      <c r="AI198" s="59"/>
      <c r="AJ198" s="59"/>
      <c r="AK198" s="59"/>
      <c r="AL198" s="59"/>
      <c r="AM198" s="59"/>
      <c r="AN198" s="59"/>
      <c r="AO198" s="59"/>
      <c r="AP198" s="59"/>
      <c r="AQ198" s="59"/>
      <c r="AR198" s="59"/>
      <c r="AS198" s="59"/>
      <c r="AT198" s="59"/>
      <c r="AU198" s="59"/>
      <c r="AV198" s="59"/>
      <c r="AW198" s="59"/>
      <c r="AX198" s="59"/>
      <c r="AY198" s="43"/>
      <c r="AZ198" s="43"/>
      <c r="BA198" s="43"/>
      <c r="BB198" s="43"/>
      <c r="BC198" s="43"/>
      <c r="BD198" s="43"/>
      <c r="BE198" s="43"/>
      <c r="BF198" s="43"/>
      <c r="BG198" s="43"/>
    </row>
    <row r="199" spans="2:59" ht="12.75">
      <c r="B199" s="12"/>
      <c r="C199" s="42"/>
      <c r="D199" s="42"/>
      <c r="E199" s="57"/>
      <c r="F199" s="57"/>
      <c r="G199" s="58"/>
      <c r="H199" s="5"/>
      <c r="I199" s="5"/>
      <c r="J199" s="5"/>
      <c r="K199" s="57"/>
      <c r="L199" s="57"/>
      <c r="M199" s="57"/>
      <c r="N199" s="57"/>
      <c r="O199" s="57"/>
      <c r="P199" s="57"/>
      <c r="Q199" s="57"/>
      <c r="R199" s="57"/>
      <c r="S199" s="57"/>
      <c r="T199" s="57"/>
      <c r="U199" s="57"/>
      <c r="V199" s="57"/>
      <c r="W199" s="1"/>
      <c r="X199" s="43" t="s">
        <v>375</v>
      </c>
      <c r="Y199" s="43" t="s">
        <v>375</v>
      </c>
      <c r="Z199" s="43" t="s">
        <v>384</v>
      </c>
      <c r="AA199" s="43" t="s">
        <v>384</v>
      </c>
      <c r="AB199" s="43" t="s">
        <v>396</v>
      </c>
      <c r="AC199" s="43" t="s">
        <v>396</v>
      </c>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43"/>
      <c r="AZ199" s="43"/>
      <c r="BA199" s="43"/>
      <c r="BB199" s="43"/>
      <c r="BC199" s="43"/>
      <c r="BD199" s="43"/>
      <c r="BE199" s="43"/>
      <c r="BF199" s="43"/>
      <c r="BG199" s="43"/>
    </row>
    <row r="200" spans="2:59" ht="12.75">
      <c r="B200" s="12" t="s">
        <v>562</v>
      </c>
      <c r="C200" s="1">
        <f>E200*(VLOOKUP(D200,Race,2,FALSE)*(N200*init_bonus+O200+P200*front+Q200*Back+R200+S200*armour+SUM(T200:V200))*(Thrust_base+(I200/J200)/Thrust_div)*POWER(W200,Weapon_power))/(POWER(signature,(L200-M200)))*IF(K200="Y",gravitic,1)*IF(H200="Y",agile,1)/divisor</f>
        <v>150.7152483527429</v>
      </c>
      <c r="D200" s="1" t="s">
        <v>555</v>
      </c>
      <c r="E200" s="57">
        <v>1</v>
      </c>
      <c r="F200" s="57">
        <v>1</v>
      </c>
      <c r="G200" s="58">
        <f>C210*F200</f>
        <v>17.40710638698532</v>
      </c>
      <c r="H200" s="52" t="s">
        <v>21</v>
      </c>
      <c r="I200" s="52">
        <v>9</v>
      </c>
      <c r="J200" s="52">
        <v>2</v>
      </c>
      <c r="K200" s="57" t="s">
        <v>21</v>
      </c>
      <c r="L200" s="57">
        <v>7</v>
      </c>
      <c r="M200" s="57">
        <v>6</v>
      </c>
      <c r="N200" s="57">
        <v>8</v>
      </c>
      <c r="O200" s="57">
        <v>36</v>
      </c>
      <c r="P200" s="57">
        <v>0</v>
      </c>
      <c r="Q200" s="57">
        <v>0</v>
      </c>
      <c r="R200" s="57">
        <v>44</v>
      </c>
      <c r="S200" s="57">
        <v>3</v>
      </c>
      <c r="T200" s="57"/>
      <c r="U200" s="57">
        <v>12</v>
      </c>
      <c r="V200" s="57"/>
      <c r="W200" s="1">
        <f>SUM(X200:BD200)*(num_weapons_base+num_weapons_mod*COUNT(X200:BD200))</f>
        <v>123.09608571428576</v>
      </c>
      <c r="X200" s="60">
        <f aca="true" t="shared" si="65" ref="X200:AC200">VLOOKUP(X199,weapon,2,FALSE)</f>
        <v>13.88571428571429</v>
      </c>
      <c r="Y200" s="60">
        <f t="shared" si="65"/>
        <v>13.88571428571429</v>
      </c>
      <c r="Z200" s="60">
        <f t="shared" si="65"/>
        <v>27.38057142857144</v>
      </c>
      <c r="AA200" s="60">
        <f t="shared" si="65"/>
        <v>27.38057142857144</v>
      </c>
      <c r="AB200" s="60">
        <f t="shared" si="65"/>
        <v>10.023750000000001</v>
      </c>
      <c r="AC200" s="60">
        <f t="shared" si="65"/>
        <v>10.023750000000001</v>
      </c>
      <c r="AD200" s="60"/>
      <c r="AE200" s="59"/>
      <c r="AF200" s="59"/>
      <c r="AG200" s="59"/>
      <c r="AH200" s="59"/>
      <c r="AI200" s="59"/>
      <c r="AJ200" s="59"/>
      <c r="AK200" s="59"/>
      <c r="AL200" s="59"/>
      <c r="AM200" s="59"/>
      <c r="AN200" s="59"/>
      <c r="AO200" s="59"/>
      <c r="AP200" s="59"/>
      <c r="AQ200" s="59"/>
      <c r="AR200" s="59"/>
      <c r="AS200" s="59"/>
      <c r="AT200" s="59"/>
      <c r="AU200" s="59"/>
      <c r="AV200" s="59"/>
      <c r="AW200" s="59"/>
      <c r="AX200" s="59"/>
      <c r="AY200" s="43"/>
      <c r="AZ200" s="43"/>
      <c r="BA200" s="43"/>
      <c r="BB200" s="43"/>
      <c r="BC200" s="43"/>
      <c r="BD200" s="43"/>
      <c r="BE200" s="43"/>
      <c r="BF200" s="43"/>
      <c r="BG200" s="43"/>
    </row>
    <row r="201" spans="2:59" ht="12.75">
      <c r="B201" s="32"/>
      <c r="C201" s="42"/>
      <c r="D201" s="42"/>
      <c r="E201" s="57"/>
      <c r="F201" s="57"/>
      <c r="G201" s="58"/>
      <c r="H201" s="5"/>
      <c r="I201" s="5"/>
      <c r="J201" s="5"/>
      <c r="K201" s="57"/>
      <c r="L201" s="57"/>
      <c r="M201" s="57"/>
      <c r="N201" s="57"/>
      <c r="O201" s="57"/>
      <c r="P201" s="57"/>
      <c r="Q201" s="57"/>
      <c r="R201" s="57"/>
      <c r="S201" s="57"/>
      <c r="T201" s="57"/>
      <c r="U201" s="57"/>
      <c r="V201" s="57"/>
      <c r="W201" s="1"/>
      <c r="X201" s="43" t="s">
        <v>380</v>
      </c>
      <c r="Y201" s="43" t="s">
        <v>375</v>
      </c>
      <c r="Z201" s="43" t="s">
        <v>375</v>
      </c>
      <c r="AA201" s="43" t="s">
        <v>375</v>
      </c>
      <c r="AB201" s="43" t="s">
        <v>375</v>
      </c>
      <c r="AC201" s="43" t="s">
        <v>396</v>
      </c>
      <c r="AD201" s="43" t="s">
        <v>396</v>
      </c>
      <c r="AE201" s="59"/>
      <c r="AF201" s="59"/>
      <c r="AG201" s="59"/>
      <c r="AH201" s="59"/>
      <c r="AI201" s="59"/>
      <c r="AJ201" s="59"/>
      <c r="AK201" s="59"/>
      <c r="AL201" s="59"/>
      <c r="AM201" s="59"/>
      <c r="AN201" s="59"/>
      <c r="AO201" s="59"/>
      <c r="AP201" s="59"/>
      <c r="AQ201" s="59"/>
      <c r="AR201" s="59"/>
      <c r="AS201" s="59"/>
      <c r="AT201" s="59"/>
      <c r="AU201" s="59"/>
      <c r="AV201" s="59"/>
      <c r="AW201" s="59"/>
      <c r="AX201" s="59"/>
      <c r="AY201" s="43"/>
      <c r="AZ201" s="43"/>
      <c r="BA201" s="43"/>
      <c r="BB201" s="43"/>
      <c r="BC201" s="43"/>
      <c r="BD201" s="43"/>
      <c r="BE201" s="43"/>
      <c r="BF201" s="43"/>
      <c r="BG201" s="43"/>
    </row>
    <row r="202" spans="2:59" ht="12.75">
      <c r="B202" s="12" t="s">
        <v>559</v>
      </c>
      <c r="C202" s="1">
        <f>E202*(VLOOKUP(D202,Race,2,FALSE)*(N202*init_bonus+O202+P202*front+Q202*Back+R202+S202*armour+SUM(T202:V202))*(Thrust_base+(I202/J202)/Thrust_div)*POWER(W202,Weapon_power))/(POWER(signature,(L202-M202)))*IF(K202="Y",gravitic,1)*IF(H202="Y",agile,1)/divisor</f>
        <v>165.6590596643889</v>
      </c>
      <c r="D202" s="1" t="s">
        <v>555</v>
      </c>
      <c r="E202" s="57">
        <v>1</v>
      </c>
      <c r="F202" s="57"/>
      <c r="G202" s="58">
        <v>0</v>
      </c>
      <c r="H202" s="52" t="s">
        <v>21</v>
      </c>
      <c r="I202" s="52">
        <v>9</v>
      </c>
      <c r="J202" s="52">
        <v>2</v>
      </c>
      <c r="K202" s="57" t="s">
        <v>21</v>
      </c>
      <c r="L202" s="57">
        <v>7</v>
      </c>
      <c r="M202" s="57">
        <v>6</v>
      </c>
      <c r="N202" s="57">
        <v>8</v>
      </c>
      <c r="O202" s="57">
        <v>36</v>
      </c>
      <c r="P202" s="57">
        <v>0</v>
      </c>
      <c r="Q202" s="57">
        <v>0</v>
      </c>
      <c r="R202" s="57">
        <v>44</v>
      </c>
      <c r="S202" s="57">
        <v>3</v>
      </c>
      <c r="T202" s="57"/>
      <c r="U202" s="57">
        <v>4</v>
      </c>
      <c r="V202" s="57"/>
      <c r="W202" s="1">
        <f>SUM(X202:BD202)*(num_weapons_base+num_weapons_mod*COUNT(X202:BD202))</f>
        <v>141.71366571428575</v>
      </c>
      <c r="X202" s="60">
        <f aca="true" t="shared" si="66" ref="X202:AD202">VLOOKUP(X201,weapon,2,FALSE)</f>
        <v>38.69485714285715</v>
      </c>
      <c r="Y202" s="60">
        <f t="shared" si="66"/>
        <v>13.88571428571429</v>
      </c>
      <c r="Z202" s="60">
        <f t="shared" si="66"/>
        <v>13.88571428571429</v>
      </c>
      <c r="AA202" s="60">
        <f t="shared" si="66"/>
        <v>13.88571428571429</v>
      </c>
      <c r="AB202" s="60">
        <f t="shared" si="66"/>
        <v>13.88571428571429</v>
      </c>
      <c r="AC202" s="60">
        <f t="shared" si="66"/>
        <v>10.023750000000001</v>
      </c>
      <c r="AD202" s="60">
        <f t="shared" si="66"/>
        <v>10.023750000000001</v>
      </c>
      <c r="AE202" s="59"/>
      <c r="AF202" s="59"/>
      <c r="AG202" s="59"/>
      <c r="AH202" s="59"/>
      <c r="AI202" s="59"/>
      <c r="AJ202" s="59"/>
      <c r="AK202" s="59"/>
      <c r="AL202" s="59"/>
      <c r="AM202" s="59"/>
      <c r="AN202" s="59"/>
      <c r="AO202" s="59"/>
      <c r="AP202" s="59"/>
      <c r="AQ202" s="59"/>
      <c r="AR202" s="59"/>
      <c r="AS202" s="59"/>
      <c r="AT202" s="59"/>
      <c r="AU202" s="59"/>
      <c r="AV202" s="59"/>
      <c r="AW202" s="59"/>
      <c r="AX202" s="59"/>
      <c r="AY202" s="43"/>
      <c r="AZ202" s="43"/>
      <c r="BA202" s="43"/>
      <c r="BB202" s="43"/>
      <c r="BC202" s="43"/>
      <c r="BD202" s="43"/>
      <c r="BE202" s="43"/>
      <c r="BF202" s="43"/>
      <c r="BG202" s="43"/>
    </row>
    <row r="203" spans="2:59" ht="12.75">
      <c r="B203" s="12"/>
      <c r="C203" s="42"/>
      <c r="D203" s="42"/>
      <c r="E203" s="57"/>
      <c r="F203" s="57"/>
      <c r="G203" s="58"/>
      <c r="H203" s="5"/>
      <c r="I203" s="5"/>
      <c r="J203" s="5"/>
      <c r="K203" s="57"/>
      <c r="L203" s="57"/>
      <c r="M203" s="57"/>
      <c r="N203" s="57"/>
      <c r="O203" s="57"/>
      <c r="P203" s="57"/>
      <c r="Q203" s="57"/>
      <c r="R203" s="57"/>
      <c r="S203" s="57"/>
      <c r="T203" s="57"/>
      <c r="U203" s="57"/>
      <c r="V203" s="57"/>
      <c r="W203" s="1"/>
      <c r="X203" s="43" t="s">
        <v>384</v>
      </c>
      <c r="Y203" s="43" t="s">
        <v>384</v>
      </c>
      <c r="Z203" s="43" t="s">
        <v>384</v>
      </c>
      <c r="AA203" s="43" t="s">
        <v>384</v>
      </c>
      <c r="AB203" s="43" t="s">
        <v>372</v>
      </c>
      <c r="AC203" s="43" t="s">
        <v>396</v>
      </c>
      <c r="AD203" s="43" t="s">
        <v>396</v>
      </c>
      <c r="AE203" s="59"/>
      <c r="AF203" s="59"/>
      <c r="AG203" s="59"/>
      <c r="AH203" s="59"/>
      <c r="AI203" s="59"/>
      <c r="AJ203" s="59"/>
      <c r="AK203" s="59"/>
      <c r="AL203" s="59"/>
      <c r="AM203" s="59"/>
      <c r="AN203" s="59"/>
      <c r="AO203" s="59"/>
      <c r="AP203" s="59"/>
      <c r="AQ203" s="59"/>
      <c r="AR203" s="59"/>
      <c r="AS203" s="59"/>
      <c r="AT203" s="59"/>
      <c r="AU203" s="59"/>
      <c r="AV203" s="59"/>
      <c r="AW203" s="59"/>
      <c r="AX203" s="59"/>
      <c r="AY203" s="43"/>
      <c r="AZ203" s="43"/>
      <c r="BA203" s="43"/>
      <c r="BB203" s="43"/>
      <c r="BC203" s="43"/>
      <c r="BD203" s="43"/>
      <c r="BE203" s="43"/>
      <c r="BF203" s="43"/>
      <c r="BG203" s="43"/>
    </row>
    <row r="204" spans="2:59" ht="12.75">
      <c r="B204" s="12" t="s">
        <v>557</v>
      </c>
      <c r="C204" s="1">
        <f>E204*(VLOOKUP(D204,Race,2,FALSE)*(N204*init_bonus+O204+P204*front+Q204*Back+R204+S204*armour+SUM(T204:V204))*(Thrust_base+(I204/J204)/Thrust_div)*POWER(W204,Weapon_power))/(POWER(signature,(L204-M204)))*IF(K204="Y",gravitic,1)*IF(H204="Y",agile,1)/divisor</f>
        <v>213.83198597027015</v>
      </c>
      <c r="D204" s="1" t="s">
        <v>555</v>
      </c>
      <c r="E204" s="57">
        <v>1</v>
      </c>
      <c r="F204" s="57"/>
      <c r="G204" s="58">
        <v>0</v>
      </c>
      <c r="H204" s="52" t="s">
        <v>21</v>
      </c>
      <c r="I204" s="52">
        <v>9</v>
      </c>
      <c r="J204" s="52">
        <v>2</v>
      </c>
      <c r="K204" s="57" t="s">
        <v>21</v>
      </c>
      <c r="L204" s="57">
        <v>6</v>
      </c>
      <c r="M204" s="57">
        <v>6</v>
      </c>
      <c r="N204" s="57">
        <v>8</v>
      </c>
      <c r="O204" s="57">
        <v>35</v>
      </c>
      <c r="P204" s="57">
        <v>0</v>
      </c>
      <c r="Q204" s="57">
        <v>0</v>
      </c>
      <c r="R204" s="57">
        <v>44</v>
      </c>
      <c r="S204" s="57">
        <v>3</v>
      </c>
      <c r="T204" s="57"/>
      <c r="U204" s="57">
        <v>4</v>
      </c>
      <c r="V204" s="57"/>
      <c r="W204" s="1">
        <f>SUM(X204:BD204)*(num_weapons_base+num_weapons_mod*COUNT(X204:BD204))</f>
        <v>170.54871428571434</v>
      </c>
      <c r="X204" s="60">
        <f aca="true" t="shared" si="67" ref="X204:AD204">VLOOKUP(X203,weapon,2,FALSE)</f>
        <v>27.38057142857144</v>
      </c>
      <c r="Y204" s="60">
        <f t="shared" si="67"/>
        <v>27.38057142857144</v>
      </c>
      <c r="Z204" s="60">
        <f t="shared" si="67"/>
        <v>27.38057142857144</v>
      </c>
      <c r="AA204" s="60">
        <f t="shared" si="67"/>
        <v>27.38057142857144</v>
      </c>
      <c r="AB204" s="60">
        <f t="shared" si="67"/>
        <v>7.9695</v>
      </c>
      <c r="AC204" s="60">
        <f t="shared" si="67"/>
        <v>10.023750000000001</v>
      </c>
      <c r="AD204" s="60">
        <f t="shared" si="67"/>
        <v>10.023750000000001</v>
      </c>
      <c r="AE204" s="60"/>
      <c r="AF204" s="60"/>
      <c r="AG204" s="60"/>
      <c r="AH204" s="60"/>
      <c r="AI204" s="60"/>
      <c r="AJ204" s="60"/>
      <c r="AK204" s="60"/>
      <c r="AL204" s="60"/>
      <c r="AM204" s="60"/>
      <c r="AN204" s="60"/>
      <c r="AO204" s="60"/>
      <c r="AP204" s="60"/>
      <c r="AQ204" s="60"/>
      <c r="AR204" s="60"/>
      <c r="AS204" s="60"/>
      <c r="AT204" s="60"/>
      <c r="AU204" s="60"/>
      <c r="AV204" s="60"/>
      <c r="AW204" s="60"/>
      <c r="AX204" s="60"/>
      <c r="AY204" s="43"/>
      <c r="AZ204" s="43"/>
      <c r="BA204" s="43"/>
      <c r="BB204" s="43"/>
      <c r="BC204" s="43"/>
      <c r="BD204" s="43"/>
      <c r="BE204" s="43"/>
      <c r="BF204" s="43"/>
      <c r="BG204" s="43"/>
    </row>
    <row r="205" spans="2:59" ht="12.75">
      <c r="B205" s="32"/>
      <c r="C205" s="42"/>
      <c r="D205" s="42"/>
      <c r="E205" s="57"/>
      <c r="F205" s="57"/>
      <c r="G205" s="58"/>
      <c r="H205" s="5"/>
      <c r="I205" s="5"/>
      <c r="J205" s="5"/>
      <c r="K205" s="57"/>
      <c r="L205" s="57"/>
      <c r="M205" s="57"/>
      <c r="N205" s="57"/>
      <c r="O205" s="57"/>
      <c r="P205" s="57"/>
      <c r="Q205" s="57"/>
      <c r="R205" s="57"/>
      <c r="S205" s="57"/>
      <c r="T205" s="57"/>
      <c r="U205" s="57"/>
      <c r="V205" s="57"/>
      <c r="W205" s="1"/>
      <c r="X205" s="43" t="s">
        <v>377</v>
      </c>
      <c r="Y205" s="43" t="s">
        <v>394</v>
      </c>
      <c r="Z205" s="43" t="s">
        <v>394</v>
      </c>
      <c r="AA205" s="43" t="s">
        <v>394</v>
      </c>
      <c r="AB205" s="43" t="s">
        <v>394</v>
      </c>
      <c r="AC205" s="43"/>
      <c r="AD205" s="43"/>
      <c r="AE205" s="59"/>
      <c r="AF205" s="59"/>
      <c r="AG205" s="59"/>
      <c r="AH205" s="59"/>
      <c r="AI205" s="59"/>
      <c r="AJ205" s="59"/>
      <c r="AK205" s="59"/>
      <c r="AL205" s="59"/>
      <c r="AM205" s="59"/>
      <c r="AN205" s="59"/>
      <c r="AO205" s="59"/>
      <c r="AP205" s="59"/>
      <c r="AQ205" s="59"/>
      <c r="AR205" s="59"/>
      <c r="AS205" s="59"/>
      <c r="AT205" s="59"/>
      <c r="AU205" s="59"/>
      <c r="AV205" s="59"/>
      <c r="AW205" s="59"/>
      <c r="AX205" s="59"/>
      <c r="AY205" s="43"/>
      <c r="AZ205" s="43"/>
      <c r="BA205" s="43"/>
      <c r="BB205" s="43"/>
      <c r="BC205" s="43"/>
      <c r="BD205" s="43"/>
      <c r="BE205" s="43"/>
      <c r="BF205" s="43"/>
      <c r="BG205" s="43"/>
    </row>
    <row r="206" spans="2:59" ht="12.75">
      <c r="B206" s="12" t="s">
        <v>561</v>
      </c>
      <c r="C206" s="1">
        <f>E206*(VLOOKUP(D206,Race,2,FALSE)*(N206*init_bonus+O206+P206*front+Q206*Back+R206+S206*armour+SUM(T206:V206))*(Thrust_base+(I206/J206)/Thrust_div)*POWER(W206,Weapon_power))/(POWER(signature,(L206-M206)))*IF(K206="Y",gravitic,1)*IF(H206="Y",agile,1)/divisor</f>
        <v>81.60662039295384</v>
      </c>
      <c r="D206" s="1" t="s">
        <v>555</v>
      </c>
      <c r="E206" s="57">
        <v>1</v>
      </c>
      <c r="F206" s="57"/>
      <c r="G206" s="58">
        <v>0</v>
      </c>
      <c r="H206" s="52" t="s">
        <v>2</v>
      </c>
      <c r="I206" s="52">
        <v>8</v>
      </c>
      <c r="J206" s="52">
        <v>2</v>
      </c>
      <c r="K206" s="57" t="s">
        <v>21</v>
      </c>
      <c r="L206" s="57">
        <v>4</v>
      </c>
      <c r="M206" s="57">
        <v>4</v>
      </c>
      <c r="N206" s="57">
        <v>8</v>
      </c>
      <c r="O206" s="57">
        <v>36</v>
      </c>
      <c r="P206" s="57">
        <v>0</v>
      </c>
      <c r="Q206" s="57">
        <v>0</v>
      </c>
      <c r="R206" s="57"/>
      <c r="S206" s="57">
        <v>2</v>
      </c>
      <c r="T206" s="57"/>
      <c r="U206" s="57"/>
      <c r="V206" s="57"/>
      <c r="W206" s="1">
        <f>SUM(X206:BD206)*(num_weapons_base+num_weapons_mod*COUNT(X206:BD206))</f>
        <v>105.02446114285718</v>
      </c>
      <c r="X206" s="60">
        <f>VLOOKUP(X205,weapon,2,FALSE)</f>
        <v>46.433828571428585</v>
      </c>
      <c r="Y206" s="60">
        <f>VLOOKUP(Y205,weapon,2,FALSE)</f>
        <v>11.026125000000002</v>
      </c>
      <c r="Z206" s="60">
        <f>VLOOKUP(Z205,weapon,2,FALSE)</f>
        <v>11.026125000000002</v>
      </c>
      <c r="AA206" s="60">
        <f>VLOOKUP(AA205,weapon,2,FALSE)</f>
        <v>11.026125000000002</v>
      </c>
      <c r="AB206" s="60">
        <f>VLOOKUP(AB205,weapon,2,FALSE)</f>
        <v>11.026125000000002</v>
      </c>
      <c r="AC206" s="60"/>
      <c r="AD206" s="60"/>
      <c r="AE206" s="59"/>
      <c r="AF206" s="59"/>
      <c r="AG206" s="59"/>
      <c r="AH206" s="59"/>
      <c r="AI206" s="59"/>
      <c r="AJ206" s="59"/>
      <c r="AK206" s="59"/>
      <c r="AL206" s="59"/>
      <c r="AM206" s="59"/>
      <c r="AN206" s="59"/>
      <c r="AO206" s="59"/>
      <c r="AP206" s="59"/>
      <c r="AQ206" s="59"/>
      <c r="AR206" s="59"/>
      <c r="AS206" s="59"/>
      <c r="AT206" s="59"/>
      <c r="AU206" s="59"/>
      <c r="AV206" s="59"/>
      <c r="AW206" s="59"/>
      <c r="AX206" s="59"/>
      <c r="AY206" s="43"/>
      <c r="AZ206" s="43"/>
      <c r="BA206" s="43"/>
      <c r="BB206" s="43"/>
      <c r="BC206" s="43"/>
      <c r="BD206" s="43"/>
      <c r="BE206" s="43"/>
      <c r="BF206" s="43"/>
      <c r="BG206" s="43"/>
    </row>
    <row r="207" spans="2:59" ht="12.75">
      <c r="B207" s="32"/>
      <c r="C207" s="42"/>
      <c r="D207" s="42"/>
      <c r="E207" s="57"/>
      <c r="F207" s="57"/>
      <c r="G207" s="58"/>
      <c r="H207" s="5"/>
      <c r="I207" s="5"/>
      <c r="J207" s="5"/>
      <c r="K207" s="57"/>
      <c r="L207" s="57"/>
      <c r="M207" s="57"/>
      <c r="N207" s="57"/>
      <c r="O207" s="57"/>
      <c r="P207" s="57"/>
      <c r="Q207" s="57"/>
      <c r="R207" s="57"/>
      <c r="S207" s="57"/>
      <c r="T207" s="57"/>
      <c r="U207" s="57"/>
      <c r="V207" s="57"/>
      <c r="W207" s="1"/>
      <c r="X207" s="43" t="s">
        <v>372</v>
      </c>
      <c r="Y207" s="43" t="s">
        <v>372</v>
      </c>
      <c r="Z207" s="43" t="s">
        <v>394</v>
      </c>
      <c r="AA207" s="43" t="s">
        <v>394</v>
      </c>
      <c r="AB207" s="43" t="s">
        <v>394</v>
      </c>
      <c r="AC207" s="43" t="s">
        <v>394</v>
      </c>
      <c r="AD207" s="43"/>
      <c r="AE207" s="59"/>
      <c r="AF207" s="59"/>
      <c r="AG207" s="59"/>
      <c r="AH207" s="59"/>
      <c r="AI207" s="59"/>
      <c r="AJ207" s="59"/>
      <c r="AK207" s="59"/>
      <c r="AL207" s="59"/>
      <c r="AM207" s="59"/>
      <c r="AN207" s="59"/>
      <c r="AO207" s="59"/>
      <c r="AP207" s="59"/>
      <c r="AQ207" s="59"/>
      <c r="AR207" s="59"/>
      <c r="AS207" s="59"/>
      <c r="AT207" s="59"/>
      <c r="AU207" s="59"/>
      <c r="AV207" s="59"/>
      <c r="AW207" s="59"/>
      <c r="AX207" s="59"/>
      <c r="AY207" s="43"/>
      <c r="AZ207" s="43"/>
      <c r="BA207" s="43"/>
      <c r="BB207" s="43"/>
      <c r="BC207" s="43"/>
      <c r="BD207" s="43"/>
      <c r="BE207" s="43"/>
      <c r="BF207" s="43"/>
      <c r="BG207" s="43"/>
    </row>
    <row r="208" spans="2:59" ht="12.75">
      <c r="B208" s="12" t="s">
        <v>962</v>
      </c>
      <c r="C208" s="1">
        <f>E208*(VLOOKUP(D208,Race,2,FALSE)*(N208*init_bonus+O208+P208*front+Q208*Back+R208+S208*armour+SUM(T208:V208))*(Thrust_base+(I208/J208)/Thrust_div)*POWER(W208,Weapon_power))/(POWER(signature,(L208-M208)))*IF(K208="Y",gravitic,1)*IF(H208="Y",agile,1)/divisor</f>
        <v>44.8485785269257</v>
      </c>
      <c r="D208" s="1" t="s">
        <v>555</v>
      </c>
      <c r="E208" s="57">
        <v>1</v>
      </c>
      <c r="F208" s="57">
        <v>6</v>
      </c>
      <c r="G208" s="58">
        <f>F208*C212</f>
        <v>44.91780582921686</v>
      </c>
      <c r="H208" s="52" t="s">
        <v>2</v>
      </c>
      <c r="I208" s="52">
        <v>8</v>
      </c>
      <c r="J208" s="52">
        <v>2</v>
      </c>
      <c r="K208" s="57" t="s">
        <v>21</v>
      </c>
      <c r="L208" s="57">
        <v>7</v>
      </c>
      <c r="M208" s="57">
        <v>4</v>
      </c>
      <c r="N208" s="57">
        <v>8</v>
      </c>
      <c r="O208" s="57">
        <v>36</v>
      </c>
      <c r="P208" s="57">
        <v>0</v>
      </c>
      <c r="Q208" s="57">
        <v>0</v>
      </c>
      <c r="R208" s="57"/>
      <c r="S208" s="57">
        <v>2</v>
      </c>
      <c r="T208" s="57"/>
      <c r="U208" s="57"/>
      <c r="V208" s="57"/>
      <c r="W208" s="1">
        <f>SUM(X208:BD208)*(num_weapons_base+num_weapons_mod*COUNT(X208:BD208))</f>
        <v>72.0522</v>
      </c>
      <c r="X208" s="60">
        <f aca="true" t="shared" si="68" ref="X208:AC208">VLOOKUP(X207,weapon,2,FALSE)</f>
        <v>7.9695</v>
      </c>
      <c r="Y208" s="60">
        <f t="shared" si="68"/>
        <v>7.9695</v>
      </c>
      <c r="Z208" s="60">
        <f t="shared" si="68"/>
        <v>11.026125000000002</v>
      </c>
      <c r="AA208" s="60">
        <f t="shared" si="68"/>
        <v>11.026125000000002</v>
      </c>
      <c r="AB208" s="60">
        <f t="shared" si="68"/>
        <v>11.026125000000002</v>
      </c>
      <c r="AC208" s="60">
        <f t="shared" si="68"/>
        <v>11.026125000000002</v>
      </c>
      <c r="AD208" s="60"/>
      <c r="AE208" s="59"/>
      <c r="AF208" s="59"/>
      <c r="AG208" s="59"/>
      <c r="AH208" s="59"/>
      <c r="AI208" s="59"/>
      <c r="AJ208" s="59"/>
      <c r="AK208" s="59"/>
      <c r="AL208" s="59"/>
      <c r="AM208" s="59"/>
      <c r="AN208" s="59"/>
      <c r="AO208" s="59"/>
      <c r="AP208" s="59"/>
      <c r="AQ208" s="59"/>
      <c r="AR208" s="59"/>
      <c r="AS208" s="59"/>
      <c r="AT208" s="59"/>
      <c r="AU208" s="59"/>
      <c r="AV208" s="59"/>
      <c r="AW208" s="59"/>
      <c r="AX208" s="59"/>
      <c r="AY208" s="43"/>
      <c r="AZ208" s="43"/>
      <c r="BA208" s="43"/>
      <c r="BB208" s="43"/>
      <c r="BC208" s="43"/>
      <c r="BD208" s="43"/>
      <c r="BE208" s="43"/>
      <c r="BF208" s="43"/>
      <c r="BG208" s="43"/>
    </row>
    <row r="209" spans="2:59" ht="12.75">
      <c r="B209" s="12"/>
      <c r="C209" s="42"/>
      <c r="D209" s="42"/>
      <c r="E209" s="57"/>
      <c r="F209" s="57"/>
      <c r="G209" s="58"/>
      <c r="H209" s="5"/>
      <c r="I209" s="5"/>
      <c r="J209" s="5"/>
      <c r="K209" s="57"/>
      <c r="L209" s="57"/>
      <c r="M209" s="57"/>
      <c r="N209" s="57"/>
      <c r="O209" s="57"/>
      <c r="P209" s="57"/>
      <c r="Q209" s="57"/>
      <c r="R209" s="57"/>
      <c r="S209" s="57"/>
      <c r="T209" s="57"/>
      <c r="U209" s="57"/>
      <c r="V209" s="57"/>
      <c r="W209" s="1"/>
      <c r="X209" s="43" t="s">
        <v>565</v>
      </c>
      <c r="Y209" s="43" t="s">
        <v>82</v>
      </c>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43"/>
      <c r="AZ209" s="43"/>
      <c r="BA209" s="43"/>
      <c r="BB209" s="43"/>
      <c r="BC209" s="43"/>
      <c r="BD209" s="43"/>
      <c r="BE209" s="43"/>
      <c r="BF209" s="43"/>
      <c r="BG209" s="43"/>
    </row>
    <row r="210" spans="2:59" ht="12.75">
      <c r="B210" s="12" t="s">
        <v>566</v>
      </c>
      <c r="C210" s="1">
        <f>E210*(VLOOKUP(D210,Race,2,FALSE)*(N210*init_bonus+O210+P210*front+Q210*Back+R210+S210*armour+SUM(T210:V210))*(Thrust_base+(I210/J210)/Thrust_div)*POWER(W210,Weapon_power))/(POWER(signature,(L210-M210)))*IF(K210="Y",gravitic,1)*IF(H210="Y",agile,1)/divisor</f>
        <v>17.40710638698532</v>
      </c>
      <c r="D210" s="1" t="s">
        <v>555</v>
      </c>
      <c r="E210" s="57">
        <v>1</v>
      </c>
      <c r="F210" s="57"/>
      <c r="G210" s="58">
        <v>0</v>
      </c>
      <c r="H210" s="5" t="s">
        <v>2</v>
      </c>
      <c r="I210" s="5">
        <v>10</v>
      </c>
      <c r="J210" s="5">
        <v>1</v>
      </c>
      <c r="K210" s="57" t="s">
        <v>21</v>
      </c>
      <c r="L210" s="57">
        <v>-3</v>
      </c>
      <c r="M210" s="57">
        <v>3</v>
      </c>
      <c r="N210" s="57">
        <v>15</v>
      </c>
      <c r="O210" s="57">
        <v>10</v>
      </c>
      <c r="P210" s="57">
        <v>0</v>
      </c>
      <c r="Q210" s="57">
        <v>0</v>
      </c>
      <c r="R210" s="57">
        <v>0</v>
      </c>
      <c r="S210" s="57">
        <v>1</v>
      </c>
      <c r="T210" s="57"/>
      <c r="U210" s="57"/>
      <c r="V210" s="57"/>
      <c r="W210" s="1">
        <f>SUM(X210:BD210)*(num_weapons_base+num_weapons_mod*COUNT(X210:BD210))</f>
        <v>14.256414970059883</v>
      </c>
      <c r="X210" s="60">
        <f>VLOOKUP(X209,weapon,2,FALSE)</f>
        <v>3.75375</v>
      </c>
      <c r="Y210" s="60">
        <f>VLOOKUP(Y209,weapon,2,FALSE)</f>
        <v>9.954341317365271</v>
      </c>
      <c r="Z210" s="60"/>
      <c r="AA210" s="60"/>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43"/>
      <c r="AZ210" s="43"/>
      <c r="BA210" s="43"/>
      <c r="BB210" s="43"/>
      <c r="BC210" s="43"/>
      <c r="BD210" s="43"/>
      <c r="BE210" s="43"/>
      <c r="BF210" s="43"/>
      <c r="BG210" s="43"/>
    </row>
    <row r="211" spans="2:59" ht="12.75">
      <c r="B211" s="12"/>
      <c r="C211" s="42"/>
      <c r="D211" s="42"/>
      <c r="E211" s="57"/>
      <c r="F211" s="57"/>
      <c r="G211" s="58"/>
      <c r="H211" s="5"/>
      <c r="I211" s="5"/>
      <c r="J211" s="5"/>
      <c r="K211" s="57"/>
      <c r="L211" s="57"/>
      <c r="M211" s="57"/>
      <c r="N211" s="57"/>
      <c r="O211" s="57"/>
      <c r="P211" s="57"/>
      <c r="Q211" s="57"/>
      <c r="R211" s="57"/>
      <c r="S211" s="57"/>
      <c r="T211" s="57"/>
      <c r="U211" s="57"/>
      <c r="V211" s="57"/>
      <c r="W211" s="1"/>
      <c r="X211" s="43" t="s">
        <v>65</v>
      </c>
      <c r="Y211" s="43"/>
      <c r="Z211" s="43"/>
      <c r="AA211" s="43"/>
      <c r="AB211" s="43"/>
      <c r="AC211" s="43"/>
      <c r="AD211" s="43"/>
      <c r="AE211" s="59"/>
      <c r="AF211" s="59"/>
      <c r="AG211" s="59"/>
      <c r="AH211" s="59"/>
      <c r="AI211" s="59"/>
      <c r="AJ211" s="59"/>
      <c r="AK211" s="59"/>
      <c r="AL211" s="59"/>
      <c r="AM211" s="59"/>
      <c r="AN211" s="59"/>
      <c r="AO211" s="59"/>
      <c r="AP211" s="59"/>
      <c r="AQ211" s="59"/>
      <c r="AR211" s="59"/>
      <c r="AS211" s="59"/>
      <c r="AT211" s="59"/>
      <c r="AU211" s="59"/>
      <c r="AV211" s="59"/>
      <c r="AW211" s="59"/>
      <c r="AX211" s="59"/>
      <c r="AY211" s="43"/>
      <c r="AZ211" s="43"/>
      <c r="BA211" s="43"/>
      <c r="BB211" s="43"/>
      <c r="BC211" s="43"/>
      <c r="BD211" s="43"/>
      <c r="BE211" s="43"/>
      <c r="BF211" s="43"/>
      <c r="BG211" s="43"/>
    </row>
    <row r="212" spans="2:59" ht="12.75">
      <c r="B212" s="12" t="s">
        <v>66</v>
      </c>
      <c r="C212" s="1">
        <f>E212*(VLOOKUP(D212,Race,2,FALSE)*(N212*init_bonus+O212+P212*front+Q212*Back+R212+S212*armour+SUM(T212:V212))*(Thrust_base+(I212/J212)/Thrust_div)*POWER(W212,Weapon_power))/(POWER(signature,(L212-M212)))*IF(K212="Y",gravitic,1)*IF(H212="Y",agile,1)/divisor</f>
        <v>7.486300971536144</v>
      </c>
      <c r="D212" s="1" t="s">
        <v>555</v>
      </c>
      <c r="E212" s="57">
        <v>1</v>
      </c>
      <c r="F212" s="57"/>
      <c r="G212" s="58">
        <v>0</v>
      </c>
      <c r="H212" s="5" t="s">
        <v>2</v>
      </c>
      <c r="I212" s="5">
        <v>13</v>
      </c>
      <c r="J212" s="5">
        <v>1</v>
      </c>
      <c r="K212" s="57" t="s">
        <v>21</v>
      </c>
      <c r="L212" s="57">
        <v>-6</v>
      </c>
      <c r="M212" s="57">
        <v>2</v>
      </c>
      <c r="N212" s="57">
        <v>22</v>
      </c>
      <c r="O212" s="57">
        <v>3</v>
      </c>
      <c r="P212" s="57">
        <v>0</v>
      </c>
      <c r="Q212" s="57">
        <v>0</v>
      </c>
      <c r="R212" s="57">
        <v>0</v>
      </c>
      <c r="S212" s="57">
        <v>0</v>
      </c>
      <c r="T212" s="57"/>
      <c r="U212" s="57"/>
      <c r="V212" s="57"/>
      <c r="W212" s="1">
        <f>SUM(X212:BD212)*(num_weapons_base+num_weapons_mod*COUNT(X212:BD212))</f>
        <v>4.504499999999999</v>
      </c>
      <c r="X212" s="60">
        <f>VLOOKUP(X211,weapon,2,FALSE)</f>
        <v>4.504499999999999</v>
      </c>
      <c r="Y212" s="60"/>
      <c r="Z212" s="60"/>
      <c r="AA212" s="60"/>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43"/>
      <c r="AZ212" s="43"/>
      <c r="BA212" s="43"/>
      <c r="BB212" s="43"/>
      <c r="BC212" s="43"/>
      <c r="BD212" s="43"/>
      <c r="BE212" s="43"/>
      <c r="BF212" s="43"/>
      <c r="BG212" s="43"/>
    </row>
    <row r="213" spans="1:59" s="191" customFormat="1" ht="12.75">
      <c r="A213" s="189" t="s">
        <v>567</v>
      </c>
      <c r="B213" s="197"/>
      <c r="C213" s="42"/>
      <c r="D213" s="192"/>
      <c r="E213" s="193"/>
      <c r="F213" s="193"/>
      <c r="G213" s="194"/>
      <c r="H213" s="198"/>
      <c r="I213" s="198"/>
      <c r="J213" s="198"/>
      <c r="K213" s="193"/>
      <c r="L213" s="193"/>
      <c r="M213" s="193"/>
      <c r="N213" s="193"/>
      <c r="O213" s="193"/>
      <c r="P213" s="193"/>
      <c r="Q213" s="193"/>
      <c r="R213" s="193"/>
      <c r="S213" s="193"/>
      <c r="T213" s="193"/>
      <c r="U213" s="193"/>
      <c r="V213" s="193"/>
      <c r="W213" s="190"/>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6"/>
      <c r="AZ213" s="196"/>
      <c r="BA213" s="196"/>
      <c r="BB213" s="196"/>
      <c r="BC213" s="196"/>
      <c r="BD213" s="196"/>
      <c r="BE213" s="196"/>
      <c r="BF213" s="196"/>
      <c r="BG213" s="196"/>
    </row>
    <row r="214" spans="3:59" s="191" customFormat="1" ht="12.75">
      <c r="C214" s="1" t="e">
        <f>E214*(VLOOKUP(D214,Race,2,FALSE)*(N214*init_bonus+O214+P214*front+Q214*Back+R214+S214*armour+SUM(T214:V214))*(Thrust_base+(I214/J214)/Thrust_div)*POWER(W214,Weapon_power))/(POWER(signature,(L214-M214)))*IF(K214="Y",gravitic,1)*IF(H214="Y",agile,1)/divisor</f>
        <v>#N/A</v>
      </c>
      <c r="D214" s="198"/>
      <c r="E214" s="193">
        <v>1</v>
      </c>
      <c r="F214" s="193"/>
      <c r="G214" s="194"/>
      <c r="H214" s="198"/>
      <c r="I214" s="198"/>
      <c r="J214" s="198"/>
      <c r="K214" s="193"/>
      <c r="L214" s="193"/>
      <c r="M214" s="193"/>
      <c r="N214" s="193"/>
      <c r="O214" s="193"/>
      <c r="P214" s="193"/>
      <c r="Q214" s="193"/>
      <c r="R214" s="193"/>
      <c r="S214" s="193"/>
      <c r="T214" s="193"/>
      <c r="U214" s="193" t="s">
        <v>961</v>
      </c>
      <c r="V214" s="193"/>
      <c r="W214" s="190">
        <f>SUM(X214:BD214)*(num_weapons_base+num_weapons_mod*COUNT(X214:BD214))</f>
        <v>0</v>
      </c>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6"/>
      <c r="AZ214" s="196"/>
      <c r="BA214" s="196"/>
      <c r="BB214" s="196"/>
      <c r="BC214" s="196"/>
      <c r="BD214" s="196"/>
      <c r="BE214" s="196"/>
      <c r="BF214" s="196"/>
      <c r="BG214" s="196"/>
    </row>
    <row r="215" spans="1:59" s="191" customFormat="1" ht="12.75">
      <c r="A215" s="141"/>
      <c r="B215" s="135"/>
      <c r="C215" s="42"/>
      <c r="D215" s="242"/>
      <c r="E215" s="136"/>
      <c r="F215" s="136"/>
      <c r="G215" s="215"/>
      <c r="H215" s="214"/>
      <c r="I215" s="214"/>
      <c r="J215" s="214"/>
      <c r="K215" s="136"/>
      <c r="L215" s="136"/>
      <c r="M215" s="136"/>
      <c r="N215" s="136"/>
      <c r="O215" s="136"/>
      <c r="P215" s="136"/>
      <c r="Q215" s="136"/>
      <c r="R215" s="136"/>
      <c r="S215" s="136"/>
      <c r="T215" s="136" t="s">
        <v>897</v>
      </c>
      <c r="U215" s="136" t="s">
        <v>460</v>
      </c>
      <c r="V215" s="136"/>
      <c r="W215" s="216"/>
      <c r="X215" s="43" t="s">
        <v>905</v>
      </c>
      <c r="Y215" s="43" t="s">
        <v>948</v>
      </c>
      <c r="Z215" s="43" t="s">
        <v>948</v>
      </c>
      <c r="AA215" s="43" t="s">
        <v>948</v>
      </c>
      <c r="AB215" s="43" t="s">
        <v>948</v>
      </c>
      <c r="AC215" s="43" t="s">
        <v>948</v>
      </c>
      <c r="AD215" s="43" t="s">
        <v>948</v>
      </c>
      <c r="AE215" s="43" t="s">
        <v>949</v>
      </c>
      <c r="AF215" s="43" t="s">
        <v>949</v>
      </c>
      <c r="AG215" s="43" t="s">
        <v>949</v>
      </c>
      <c r="AH215" s="43" t="s">
        <v>951</v>
      </c>
      <c r="AI215" s="43" t="s">
        <v>951</v>
      </c>
      <c r="AJ215" s="43" t="s">
        <v>951</v>
      </c>
      <c r="AK215" s="43" t="s">
        <v>951</v>
      </c>
      <c r="AL215" s="43" t="s">
        <v>952</v>
      </c>
      <c r="AM215" s="43" t="s">
        <v>952</v>
      </c>
      <c r="AN215" s="43" t="s">
        <v>952</v>
      </c>
      <c r="AO215" s="43" t="s">
        <v>952</v>
      </c>
      <c r="AP215" s="43" t="s">
        <v>952</v>
      </c>
      <c r="AQ215" s="43" t="s">
        <v>952</v>
      </c>
      <c r="AR215" s="43" t="s">
        <v>952</v>
      </c>
      <c r="AS215" s="43" t="s">
        <v>952</v>
      </c>
      <c r="AT215" s="43" t="s">
        <v>952</v>
      </c>
      <c r="AU215" s="43" t="s">
        <v>952</v>
      </c>
      <c r="AV215" s="43" t="s">
        <v>952</v>
      </c>
      <c r="AW215" s="43" t="s">
        <v>952</v>
      </c>
      <c r="AX215" s="43" t="s">
        <v>952</v>
      </c>
      <c r="AY215" s="43" t="s">
        <v>952</v>
      </c>
      <c r="AZ215" s="43" t="s">
        <v>952</v>
      </c>
      <c r="BA215" s="43" t="s">
        <v>952</v>
      </c>
      <c r="BB215" s="43" t="s">
        <v>278</v>
      </c>
      <c r="BC215" s="43" t="s">
        <v>278</v>
      </c>
      <c r="BD215" s="43" t="s">
        <v>278</v>
      </c>
      <c r="BE215" s="43" t="s">
        <v>278</v>
      </c>
      <c r="BF215" s="43" t="s">
        <v>278</v>
      </c>
      <c r="BG215" s="43" t="s">
        <v>278</v>
      </c>
    </row>
    <row r="216" spans="2:59" ht="12.75">
      <c r="B216" s="12" t="s">
        <v>950</v>
      </c>
      <c r="C216" s="1">
        <f>E216*(VLOOKUP(D216,Race,2,FALSE)*(N216*init_bonus+O216+P216*front+Q216*Back+R216+S216*armour+SUM(T216:V216))*(Thrust_base+(I216/J216)/Thrust_div)*POWER(W216,Weapon_power))/(POWER(signature,(L216-M216)))*IF(K216="Y",gravitic,1)*IF(H216="Y",agile,1)/divisor</f>
        <v>964.303069353691</v>
      </c>
      <c r="D216" s="1" t="s">
        <v>567</v>
      </c>
      <c r="E216" s="57">
        <v>1</v>
      </c>
      <c r="F216" s="57"/>
      <c r="G216" s="58"/>
      <c r="H216" s="5" t="s">
        <v>21</v>
      </c>
      <c r="I216" s="5">
        <v>14</v>
      </c>
      <c r="J216" s="5">
        <v>5</v>
      </c>
      <c r="K216" s="57" t="s">
        <v>21</v>
      </c>
      <c r="L216" s="57">
        <v>15</v>
      </c>
      <c r="M216" s="57">
        <v>8</v>
      </c>
      <c r="N216" s="57">
        <v>-2</v>
      </c>
      <c r="O216" s="57">
        <v>60</v>
      </c>
      <c r="P216" s="57">
        <v>60</v>
      </c>
      <c r="Q216" s="57">
        <v>40</v>
      </c>
      <c r="R216" s="57">
        <v>49</v>
      </c>
      <c r="S216" s="57">
        <v>4.75</v>
      </c>
      <c r="T216" s="57">
        <v>24</v>
      </c>
      <c r="U216" s="57"/>
      <c r="V216" s="57"/>
      <c r="W216" s="1">
        <f>SUM(X216:BD216)*(num_weapons_base+num_weapons_mod*COUNT(X216:BD216))</f>
        <v>964.5726690846873</v>
      </c>
      <c r="X216" s="60">
        <f aca="true" t="shared" si="69" ref="X216:BG216">VLOOKUP(X215,weapon,2,FALSE)</f>
        <v>35.92928571428571</v>
      </c>
      <c r="Y216" s="60">
        <f t="shared" si="69"/>
        <v>29.10179640718563</v>
      </c>
      <c r="Z216" s="60">
        <f t="shared" si="69"/>
        <v>29.10179640718563</v>
      </c>
      <c r="AA216" s="60">
        <f t="shared" si="69"/>
        <v>29.10179640718563</v>
      </c>
      <c r="AB216" s="60">
        <f t="shared" si="69"/>
        <v>29.10179640718563</v>
      </c>
      <c r="AC216" s="60">
        <f t="shared" si="69"/>
        <v>29.10179640718563</v>
      </c>
      <c r="AD216" s="60">
        <f t="shared" si="69"/>
        <v>29.10179640718563</v>
      </c>
      <c r="AE216" s="60">
        <f t="shared" si="69"/>
        <v>31.526946107784436</v>
      </c>
      <c r="AF216" s="60">
        <f t="shared" si="69"/>
        <v>31.526946107784436</v>
      </c>
      <c r="AG216" s="60">
        <f t="shared" si="69"/>
        <v>31.526946107784436</v>
      </c>
      <c r="AH216" s="60">
        <f t="shared" si="69"/>
        <v>15.345</v>
      </c>
      <c r="AI216" s="60">
        <f t="shared" si="69"/>
        <v>15.345</v>
      </c>
      <c r="AJ216" s="60">
        <f t="shared" si="69"/>
        <v>15.345</v>
      </c>
      <c r="AK216" s="60">
        <f t="shared" si="69"/>
        <v>15.345</v>
      </c>
      <c r="AL216" s="60">
        <f t="shared" si="69"/>
        <v>2.625267857142858</v>
      </c>
      <c r="AM216" s="60">
        <f t="shared" si="69"/>
        <v>2.625267857142858</v>
      </c>
      <c r="AN216" s="60">
        <f t="shared" si="69"/>
        <v>2.625267857142858</v>
      </c>
      <c r="AO216" s="60">
        <f t="shared" si="69"/>
        <v>2.625267857142858</v>
      </c>
      <c r="AP216" s="60">
        <f t="shared" si="69"/>
        <v>2.625267857142858</v>
      </c>
      <c r="AQ216" s="60">
        <f t="shared" si="69"/>
        <v>2.625267857142858</v>
      </c>
      <c r="AR216" s="60">
        <f t="shared" si="69"/>
        <v>2.625267857142858</v>
      </c>
      <c r="AS216" s="60">
        <f t="shared" si="69"/>
        <v>2.625267857142858</v>
      </c>
      <c r="AT216" s="60">
        <f t="shared" si="69"/>
        <v>2.625267857142858</v>
      </c>
      <c r="AU216" s="60">
        <f t="shared" si="69"/>
        <v>2.625267857142858</v>
      </c>
      <c r="AV216" s="60">
        <f t="shared" si="69"/>
        <v>2.625267857142858</v>
      </c>
      <c r="AW216" s="60">
        <f t="shared" si="69"/>
        <v>2.625267857142858</v>
      </c>
      <c r="AX216" s="60">
        <f t="shared" si="69"/>
        <v>2.625267857142858</v>
      </c>
      <c r="AY216" s="60">
        <f t="shared" si="69"/>
        <v>2.625267857142858</v>
      </c>
      <c r="AZ216" s="60">
        <f t="shared" si="69"/>
        <v>2.625267857142858</v>
      </c>
      <c r="BA216" s="60">
        <f t="shared" si="69"/>
        <v>2.625267857142858</v>
      </c>
      <c r="BB216" s="60">
        <f t="shared" si="69"/>
        <v>4.851</v>
      </c>
      <c r="BC216" s="60">
        <f t="shared" si="69"/>
        <v>4.851</v>
      </c>
      <c r="BD216" s="60">
        <f t="shared" si="69"/>
        <v>4.851</v>
      </c>
      <c r="BE216" s="60">
        <f t="shared" si="69"/>
        <v>4.851</v>
      </c>
      <c r="BF216" s="60">
        <f t="shared" si="69"/>
        <v>4.851</v>
      </c>
      <c r="BG216" s="60">
        <f t="shared" si="69"/>
        <v>4.851</v>
      </c>
    </row>
    <row r="217" spans="2:59" s="141" customFormat="1" ht="12.75">
      <c r="B217" s="135"/>
      <c r="C217" s="42"/>
      <c r="D217" s="214"/>
      <c r="E217" s="136"/>
      <c r="F217" s="136"/>
      <c r="G217" s="215"/>
      <c r="H217" s="214"/>
      <c r="I217" s="214"/>
      <c r="J217" s="214"/>
      <c r="K217" s="136"/>
      <c r="L217" s="136"/>
      <c r="M217" s="136"/>
      <c r="N217" s="136"/>
      <c r="O217" s="136"/>
      <c r="P217" s="136"/>
      <c r="Q217" s="136"/>
      <c r="R217" s="136"/>
      <c r="S217" s="136"/>
      <c r="T217" s="136"/>
      <c r="V217" s="136"/>
      <c r="W217" s="216"/>
      <c r="X217" s="43" t="s">
        <v>135</v>
      </c>
      <c r="Y217" s="43" t="s">
        <v>332</v>
      </c>
      <c r="Z217" s="43" t="s">
        <v>332</v>
      </c>
      <c r="AA217" s="43" t="s">
        <v>331</v>
      </c>
      <c r="AB217" s="43" t="s">
        <v>331</v>
      </c>
      <c r="AC217" s="43" t="s">
        <v>568</v>
      </c>
      <c r="AD217" s="43" t="s">
        <v>568</v>
      </c>
      <c r="AE217" s="43" t="s">
        <v>568</v>
      </c>
      <c r="AF217" s="43" t="s">
        <v>568</v>
      </c>
      <c r="AG217" s="43" t="s">
        <v>568</v>
      </c>
      <c r="AH217" s="43" t="s">
        <v>568</v>
      </c>
      <c r="AI217" s="43" t="s">
        <v>278</v>
      </c>
      <c r="AJ217" s="43" t="s">
        <v>278</v>
      </c>
      <c r="AK217" s="43" t="s">
        <v>278</v>
      </c>
      <c r="AL217" s="43" t="s">
        <v>278</v>
      </c>
      <c r="AM217" s="43"/>
      <c r="AN217" s="43"/>
      <c r="AO217" s="43"/>
      <c r="AP217" s="43"/>
      <c r="AQ217" s="59"/>
      <c r="AR217" s="59"/>
      <c r="AS217" s="59"/>
      <c r="AT217" s="59"/>
      <c r="AU217" s="59"/>
      <c r="AV217" s="59"/>
      <c r="AW217" s="59"/>
      <c r="AX217" s="59"/>
      <c r="AY217" s="43"/>
      <c r="AZ217" s="43"/>
      <c r="BA217" s="43"/>
      <c r="BB217" s="43"/>
      <c r="BC217" s="43"/>
      <c r="BD217" s="43"/>
      <c r="BE217" s="43"/>
      <c r="BF217" s="43"/>
      <c r="BG217" s="43"/>
    </row>
    <row r="218" spans="2:59" ht="12.75">
      <c r="B218" s="12" t="s">
        <v>569</v>
      </c>
      <c r="C218" s="1">
        <f>E218*(VLOOKUP(D218,Race,2,FALSE)*(N218*init_bonus+O218+P218*front+Q218*Back+R218+S218*armour+SUM(T218:V218))*(Thrust_base+(I218/J218)/Thrust_div)*POWER(W218,Weapon_power))/(POWER(signature,(L218-M218)))*IF(K218="Y",gravitic,1)*IF(H218="Y",agile,1)/divisor</f>
        <v>401.5455130255858</v>
      </c>
      <c r="D218" s="1" t="s">
        <v>567</v>
      </c>
      <c r="E218" s="57">
        <v>1</v>
      </c>
      <c r="F218" s="57"/>
      <c r="G218" s="58">
        <v>0</v>
      </c>
      <c r="H218" s="5" t="s">
        <v>21</v>
      </c>
      <c r="I218" s="5">
        <v>12</v>
      </c>
      <c r="J218" s="5">
        <v>3</v>
      </c>
      <c r="K218" s="57" t="s">
        <v>21</v>
      </c>
      <c r="L218" s="57">
        <v>14</v>
      </c>
      <c r="M218" s="57">
        <v>8</v>
      </c>
      <c r="N218" s="57">
        <v>-1</v>
      </c>
      <c r="O218" s="57">
        <v>60</v>
      </c>
      <c r="P218" s="57">
        <v>42</v>
      </c>
      <c r="Q218" s="57">
        <v>42</v>
      </c>
      <c r="R218" s="57">
        <v>56</v>
      </c>
      <c r="S218" s="57">
        <v>5</v>
      </c>
      <c r="T218" s="57">
        <v>12</v>
      </c>
      <c r="U218" s="57"/>
      <c r="V218" s="57"/>
      <c r="W218" s="1">
        <f>SUM(X218:BD218)*(num_weapons_base+num_weapons_mod*COUNT(X218:BD218))</f>
        <v>389.42435065868256</v>
      </c>
      <c r="X218" s="60">
        <f aca="true" t="shared" si="70" ref="X218:AL218">VLOOKUP(X217,weapon,2,FALSE)</f>
        <v>33.44</v>
      </c>
      <c r="Y218" s="60">
        <f t="shared" si="70"/>
        <v>32.291999999999994</v>
      </c>
      <c r="Z218" s="60">
        <f t="shared" si="70"/>
        <v>32.291999999999994</v>
      </c>
      <c r="AA218" s="60">
        <f t="shared" si="70"/>
        <v>24.251497005988025</v>
      </c>
      <c r="AB218" s="60">
        <f t="shared" si="70"/>
        <v>24.251497005988025</v>
      </c>
      <c r="AC218" s="60">
        <f t="shared" si="70"/>
        <v>13.950000000000001</v>
      </c>
      <c r="AD218" s="60">
        <f t="shared" si="70"/>
        <v>13.950000000000001</v>
      </c>
      <c r="AE218" s="60">
        <f t="shared" si="70"/>
        <v>13.950000000000001</v>
      </c>
      <c r="AF218" s="60">
        <f t="shared" si="70"/>
        <v>13.950000000000001</v>
      </c>
      <c r="AG218" s="60">
        <f t="shared" si="70"/>
        <v>13.950000000000001</v>
      </c>
      <c r="AH218" s="60">
        <f t="shared" si="70"/>
        <v>13.950000000000001</v>
      </c>
      <c r="AI218" s="60">
        <f t="shared" si="70"/>
        <v>4.851</v>
      </c>
      <c r="AJ218" s="60">
        <f t="shared" si="70"/>
        <v>4.851</v>
      </c>
      <c r="AK218" s="60">
        <f t="shared" si="70"/>
        <v>4.851</v>
      </c>
      <c r="AL218" s="60">
        <f t="shared" si="70"/>
        <v>4.851</v>
      </c>
      <c r="AM218" s="60"/>
      <c r="AN218" s="60"/>
      <c r="AO218" s="60"/>
      <c r="AP218" s="60"/>
      <c r="AQ218" s="59"/>
      <c r="AR218" s="59"/>
      <c r="AS218" s="59"/>
      <c r="AT218" s="59"/>
      <c r="AU218" s="59"/>
      <c r="AV218" s="59"/>
      <c r="AW218" s="59"/>
      <c r="AX218" s="59"/>
      <c r="AY218" s="43"/>
      <c r="AZ218" s="43"/>
      <c r="BA218" s="43"/>
      <c r="BB218" s="43"/>
      <c r="BC218" s="43"/>
      <c r="BD218" s="43"/>
      <c r="BE218" s="43"/>
      <c r="BF218" s="43"/>
      <c r="BG218" s="43"/>
    </row>
    <row r="219" spans="2:59" ht="12.75">
      <c r="B219" s="12"/>
      <c r="C219" s="42"/>
      <c r="D219" s="42"/>
      <c r="E219" s="57"/>
      <c r="F219" s="57"/>
      <c r="G219" s="58"/>
      <c r="H219" s="5"/>
      <c r="I219" s="5"/>
      <c r="J219" s="5"/>
      <c r="K219" s="57"/>
      <c r="L219" s="57"/>
      <c r="M219" s="57"/>
      <c r="N219" s="57"/>
      <c r="O219" s="57"/>
      <c r="P219" s="57"/>
      <c r="Q219" s="57"/>
      <c r="R219" s="57"/>
      <c r="S219" s="57"/>
      <c r="T219" s="57"/>
      <c r="U219" s="57"/>
      <c r="V219" s="57"/>
      <c r="W219" s="1"/>
      <c r="X219" s="43" t="s">
        <v>321</v>
      </c>
      <c r="Y219" s="43" t="s">
        <v>331</v>
      </c>
      <c r="Z219" s="43" t="s">
        <v>331</v>
      </c>
      <c r="AA219" s="43" t="s">
        <v>331</v>
      </c>
      <c r="AB219" s="43" t="s">
        <v>568</v>
      </c>
      <c r="AC219" s="43" t="s">
        <v>568</v>
      </c>
      <c r="AD219" s="43" t="s">
        <v>278</v>
      </c>
      <c r="AE219" s="43" t="s">
        <v>278</v>
      </c>
      <c r="AF219" s="43" t="s">
        <v>278</v>
      </c>
      <c r="AG219" s="43" t="s">
        <v>278</v>
      </c>
      <c r="AH219" s="43"/>
      <c r="AI219" s="43"/>
      <c r="AJ219" s="43"/>
      <c r="AK219" s="59"/>
      <c r="AL219" s="59"/>
      <c r="AM219" s="59"/>
      <c r="AN219" s="59"/>
      <c r="AO219" s="59"/>
      <c r="AP219" s="59"/>
      <c r="AQ219" s="59"/>
      <c r="AR219" s="59"/>
      <c r="AS219" s="59"/>
      <c r="AT219" s="59"/>
      <c r="AU219" s="59"/>
      <c r="AV219" s="59"/>
      <c r="AW219" s="59"/>
      <c r="AX219" s="59"/>
      <c r="AY219" s="43"/>
      <c r="AZ219" s="43"/>
      <c r="BA219" s="43"/>
      <c r="BB219" s="43"/>
      <c r="BC219" s="43"/>
      <c r="BD219" s="43"/>
      <c r="BE219" s="43"/>
      <c r="BF219" s="43"/>
      <c r="BG219" s="43"/>
    </row>
    <row r="220" spans="2:59" ht="12.75">
      <c r="B220" s="12" t="s">
        <v>953</v>
      </c>
      <c r="C220" s="1">
        <f>E220*(VLOOKUP(D220,Race,2,FALSE)*(N220*init_bonus+O220+P220*front+Q220*Back+R220+S220*armour+SUM(T220:V220))*(Thrust_base+(I220/J220)/Thrust_div)*POWER(W220,Weapon_power))/(POWER(signature,(L220-M220)))*IF(K220="Y",gravitic,1)*IF(H220="Y",agile,1)/divisor</f>
        <v>140.99866076138204</v>
      </c>
      <c r="D220" s="1" t="s">
        <v>567</v>
      </c>
      <c r="E220" s="57">
        <v>1</v>
      </c>
      <c r="F220" s="57">
        <v>12</v>
      </c>
      <c r="G220" s="58">
        <f>C228*F220</f>
        <v>56.6982205290264</v>
      </c>
      <c r="H220" s="5" t="s">
        <v>21</v>
      </c>
      <c r="I220" s="5">
        <v>15</v>
      </c>
      <c r="J220" s="5">
        <v>4</v>
      </c>
      <c r="K220" s="57" t="s">
        <v>21</v>
      </c>
      <c r="L220" s="57">
        <v>13</v>
      </c>
      <c r="M220" s="57">
        <v>7</v>
      </c>
      <c r="N220" s="57">
        <v>-1</v>
      </c>
      <c r="O220" s="57">
        <v>36</v>
      </c>
      <c r="P220" s="57">
        <v>36</v>
      </c>
      <c r="Q220" s="57">
        <v>36</v>
      </c>
      <c r="R220" s="57">
        <v>44</v>
      </c>
      <c r="S220" s="57">
        <v>3.75</v>
      </c>
      <c r="T220" s="57">
        <v>10</v>
      </c>
      <c r="U220" s="57"/>
      <c r="V220" s="57"/>
      <c r="W220" s="1">
        <f>SUM(X220:BD220)*(num_weapons_base+num_weapons_mod*COUNT(X220:BD220))</f>
        <v>193.9528411976048</v>
      </c>
      <c r="X220" s="60">
        <f aca="true" t="shared" si="71" ref="X220:AG220">VLOOKUP(X219,weapon,2,FALSE)</f>
        <v>22.553892215568865</v>
      </c>
      <c r="Y220" s="60">
        <f t="shared" si="71"/>
        <v>24.251497005988025</v>
      </c>
      <c r="Z220" s="60">
        <f t="shared" si="71"/>
        <v>24.251497005988025</v>
      </c>
      <c r="AA220" s="60">
        <f t="shared" si="71"/>
        <v>24.251497005988025</v>
      </c>
      <c r="AB220" s="60">
        <f t="shared" si="71"/>
        <v>13.950000000000001</v>
      </c>
      <c r="AC220" s="60">
        <f t="shared" si="71"/>
        <v>13.950000000000001</v>
      </c>
      <c r="AD220" s="60">
        <f t="shared" si="71"/>
        <v>4.851</v>
      </c>
      <c r="AE220" s="60">
        <f t="shared" si="71"/>
        <v>4.851</v>
      </c>
      <c r="AF220" s="60">
        <f t="shared" si="71"/>
        <v>4.851</v>
      </c>
      <c r="AG220" s="60">
        <f t="shared" si="71"/>
        <v>4.851</v>
      </c>
      <c r="AH220" s="60"/>
      <c r="AI220" s="60"/>
      <c r="AJ220" s="60"/>
      <c r="AK220" s="59"/>
      <c r="AL220" s="59"/>
      <c r="AM220" s="59"/>
      <c r="AN220" s="59"/>
      <c r="AO220" s="59"/>
      <c r="AP220" s="59"/>
      <c r="AQ220" s="59"/>
      <c r="AR220" s="59"/>
      <c r="AS220" s="59"/>
      <c r="AT220" s="59"/>
      <c r="AU220" s="59"/>
      <c r="AV220" s="59"/>
      <c r="AW220" s="59"/>
      <c r="AX220" s="59"/>
      <c r="AY220" s="43"/>
      <c r="AZ220" s="43"/>
      <c r="BA220" s="43"/>
      <c r="BB220" s="43"/>
      <c r="BC220" s="43"/>
      <c r="BD220" s="43"/>
      <c r="BE220" s="43"/>
      <c r="BF220" s="43"/>
      <c r="BG220" s="43"/>
    </row>
    <row r="221" spans="2:59" ht="12.75">
      <c r="B221" s="12"/>
      <c r="C221" s="42"/>
      <c r="D221" s="42"/>
      <c r="E221" s="57"/>
      <c r="F221" s="57"/>
      <c r="G221" s="58"/>
      <c r="H221" s="5"/>
      <c r="I221" s="5"/>
      <c r="J221" s="5"/>
      <c r="K221" s="57"/>
      <c r="L221" s="57"/>
      <c r="M221" s="57"/>
      <c r="N221" s="57"/>
      <c r="O221" s="57"/>
      <c r="P221" s="57"/>
      <c r="Q221" s="57"/>
      <c r="R221" s="57"/>
      <c r="S221" s="57"/>
      <c r="T221" s="57"/>
      <c r="U221" s="57"/>
      <c r="V221" s="57"/>
      <c r="W221" s="1"/>
      <c r="X221" s="43" t="s">
        <v>332</v>
      </c>
      <c r="Y221" s="43" t="s">
        <v>332</v>
      </c>
      <c r="Z221" s="43" t="s">
        <v>332</v>
      </c>
      <c r="AA221" s="43" t="s">
        <v>332</v>
      </c>
      <c r="AB221" s="43" t="s">
        <v>331</v>
      </c>
      <c r="AC221" s="43" t="s">
        <v>331</v>
      </c>
      <c r="AD221" s="43" t="s">
        <v>278</v>
      </c>
      <c r="AE221" s="43" t="s">
        <v>278</v>
      </c>
      <c r="AF221" s="43" t="s">
        <v>278</v>
      </c>
      <c r="AG221" s="43" t="s">
        <v>278</v>
      </c>
      <c r="AH221" s="43"/>
      <c r="AI221" s="43"/>
      <c r="AJ221" s="43"/>
      <c r="AK221" s="43"/>
      <c r="AL221" s="59"/>
      <c r="AM221" s="59"/>
      <c r="AN221" s="59"/>
      <c r="AO221" s="59"/>
      <c r="AP221" s="59"/>
      <c r="AQ221" s="59"/>
      <c r="AR221" s="59"/>
      <c r="AS221" s="59"/>
      <c r="AT221" s="59"/>
      <c r="AU221" s="59"/>
      <c r="AV221" s="59"/>
      <c r="AW221" s="59"/>
      <c r="AX221" s="59"/>
      <c r="AY221" s="43"/>
      <c r="AZ221" s="43"/>
      <c r="BA221" s="43"/>
      <c r="BB221" s="43"/>
      <c r="BC221" s="43"/>
      <c r="BD221" s="43"/>
      <c r="BE221" s="43"/>
      <c r="BF221" s="43"/>
      <c r="BG221" s="43"/>
    </row>
    <row r="222" spans="2:59" ht="12.75">
      <c r="B222" s="12" t="s">
        <v>570</v>
      </c>
      <c r="C222" s="1">
        <f>E222*(VLOOKUP(D222,Race,2,FALSE)*(N222*init_bonus+O222+P222*front+Q222*Back+R222+S222*armour+SUM(T222:V222))*(Thrust_base+(I222/J222)/Thrust_div)*POWER(W222,Weapon_power))/(POWER(signature,(L222-M222)))*IF(K222="Y",gravitic,1)*IF(H222="Y",agile,1)/divisor</f>
        <v>242.35304395729275</v>
      </c>
      <c r="D222" s="1" t="s">
        <v>567</v>
      </c>
      <c r="E222" s="57">
        <v>1</v>
      </c>
      <c r="F222" s="57"/>
      <c r="G222" s="58"/>
      <c r="H222" s="5" t="s">
        <v>21</v>
      </c>
      <c r="I222" s="5">
        <v>10</v>
      </c>
      <c r="J222" s="5">
        <v>3</v>
      </c>
      <c r="K222" s="57" t="s">
        <v>21</v>
      </c>
      <c r="L222" s="57">
        <v>13</v>
      </c>
      <c r="M222" s="57">
        <v>8</v>
      </c>
      <c r="N222" s="57">
        <v>-1</v>
      </c>
      <c r="O222" s="57">
        <v>50</v>
      </c>
      <c r="P222" s="57">
        <v>40</v>
      </c>
      <c r="Q222" s="57">
        <v>40</v>
      </c>
      <c r="R222" s="57">
        <v>48</v>
      </c>
      <c r="S222" s="57">
        <v>4</v>
      </c>
      <c r="T222" s="57">
        <v>12</v>
      </c>
      <c r="U222" s="57"/>
      <c r="V222" s="57"/>
      <c r="W222" s="1">
        <f>SUM(X222:BD222)*(num_weapons_base+num_weapons_mod*COUNT(X222:BD222))</f>
        <v>268.0219918562874</v>
      </c>
      <c r="X222" s="60">
        <f aca="true" t="shared" si="72" ref="X222:AG222">VLOOKUP(X221,weapon,2,FALSE)</f>
        <v>32.291999999999994</v>
      </c>
      <c r="Y222" s="60">
        <f t="shared" si="72"/>
        <v>32.291999999999994</v>
      </c>
      <c r="Z222" s="60">
        <f t="shared" si="72"/>
        <v>32.291999999999994</v>
      </c>
      <c r="AA222" s="60">
        <f t="shared" si="72"/>
        <v>32.291999999999994</v>
      </c>
      <c r="AB222" s="60">
        <f t="shared" si="72"/>
        <v>24.251497005988025</v>
      </c>
      <c r="AC222" s="60">
        <f t="shared" si="72"/>
        <v>24.251497005988025</v>
      </c>
      <c r="AD222" s="60">
        <f t="shared" si="72"/>
        <v>4.851</v>
      </c>
      <c r="AE222" s="60">
        <f t="shared" si="72"/>
        <v>4.851</v>
      </c>
      <c r="AF222" s="60">
        <f t="shared" si="72"/>
        <v>4.851</v>
      </c>
      <c r="AG222" s="60">
        <f t="shared" si="72"/>
        <v>4.851</v>
      </c>
      <c r="AH222" s="60"/>
      <c r="AI222" s="60"/>
      <c r="AJ222" s="60"/>
      <c r="AK222" s="60"/>
      <c r="AL222" s="59"/>
      <c r="AM222" s="59"/>
      <c r="AN222" s="59"/>
      <c r="AO222" s="59"/>
      <c r="AP222" s="59"/>
      <c r="AQ222" s="59"/>
      <c r="AR222" s="59"/>
      <c r="AS222" s="59"/>
      <c r="AT222" s="59"/>
      <c r="AU222" s="59"/>
      <c r="AV222" s="59"/>
      <c r="AW222" s="59"/>
      <c r="AX222" s="59"/>
      <c r="AY222" s="43"/>
      <c r="AZ222" s="43"/>
      <c r="BA222" s="43"/>
      <c r="BB222" s="43"/>
      <c r="BC222" s="43"/>
      <c r="BD222" s="43"/>
      <c r="BE222" s="43"/>
      <c r="BF222" s="43"/>
      <c r="BG222" s="43"/>
    </row>
    <row r="223" spans="2:59" ht="12.75">
      <c r="B223" s="12"/>
      <c r="C223" s="42"/>
      <c r="D223" s="42"/>
      <c r="E223" s="57"/>
      <c r="F223" s="57"/>
      <c r="G223" s="58"/>
      <c r="H223" s="5"/>
      <c r="I223" s="5"/>
      <c r="J223" s="5"/>
      <c r="K223" s="57"/>
      <c r="L223" s="57"/>
      <c r="M223" s="57"/>
      <c r="N223" s="57"/>
      <c r="O223" s="57"/>
      <c r="P223" s="57"/>
      <c r="Q223" s="57"/>
      <c r="R223" s="57"/>
      <c r="S223" s="57"/>
      <c r="T223" s="57"/>
      <c r="U223" s="57"/>
      <c r="V223" s="57"/>
      <c r="W223" s="1"/>
      <c r="X223" s="43" t="s">
        <v>313</v>
      </c>
      <c r="Y223" s="43" t="s">
        <v>331</v>
      </c>
      <c r="Z223" s="43" t="s">
        <v>331</v>
      </c>
      <c r="AA223" s="43" t="s">
        <v>568</v>
      </c>
      <c r="AB223" s="43" t="s">
        <v>568</v>
      </c>
      <c r="AC223" s="43" t="s">
        <v>568</v>
      </c>
      <c r="AD223" s="43" t="s">
        <v>278</v>
      </c>
      <c r="AE223" s="43"/>
      <c r="AF223" s="43"/>
      <c r="AG223" s="43"/>
      <c r="AH223" s="43"/>
      <c r="AI223" s="43"/>
      <c r="AJ223" s="43"/>
      <c r="AK223" s="59"/>
      <c r="AL223" s="59"/>
      <c r="AM223" s="59"/>
      <c r="AN223" s="59"/>
      <c r="AO223" s="59"/>
      <c r="AP223" s="59"/>
      <c r="AQ223" s="59"/>
      <c r="AR223" s="59"/>
      <c r="AS223" s="59"/>
      <c r="AT223" s="59"/>
      <c r="AU223" s="59"/>
      <c r="AV223" s="59"/>
      <c r="AW223" s="59"/>
      <c r="AX223" s="59"/>
      <c r="AY223" s="43"/>
      <c r="AZ223" s="43"/>
      <c r="BA223" s="43"/>
      <c r="BB223" s="43"/>
      <c r="BC223" s="43"/>
      <c r="BD223" s="43"/>
      <c r="BE223" s="43"/>
      <c r="BF223" s="43"/>
      <c r="BG223" s="43"/>
    </row>
    <row r="224" spans="2:59" ht="12.75">
      <c r="B224" s="12" t="s">
        <v>959</v>
      </c>
      <c r="C224" s="1">
        <f>E224*(VLOOKUP(D224,Race,2,FALSE)*(N224*init_bonus+O224+P224*front+Q224*Back+R224+S224*armour+SUM(T224:V224))*(Thrust_base+(I224/J224)/Thrust_div)*POWER(W224,Weapon_power))/(POWER(signature,(L224-M224)))*IF(K224="Y",gravitic,1)*IF(H224="Y",agile,1)/divisor</f>
        <v>199.9440511789276</v>
      </c>
      <c r="D224" s="1" t="s">
        <v>567</v>
      </c>
      <c r="E224" s="57">
        <v>1</v>
      </c>
      <c r="F224" s="57">
        <v>0</v>
      </c>
      <c r="G224" s="58">
        <v>0</v>
      </c>
      <c r="H224" s="5" t="s">
        <v>21</v>
      </c>
      <c r="I224" s="5">
        <v>12</v>
      </c>
      <c r="J224" s="5">
        <v>2</v>
      </c>
      <c r="K224" s="57" t="s">
        <v>21</v>
      </c>
      <c r="L224" s="57">
        <v>6</v>
      </c>
      <c r="M224" s="57">
        <v>5</v>
      </c>
      <c r="N224" s="57">
        <v>11</v>
      </c>
      <c r="O224" s="57">
        <v>60</v>
      </c>
      <c r="P224" s="57">
        <v>45</v>
      </c>
      <c r="Q224" s="57">
        <v>40</v>
      </c>
      <c r="R224" s="57">
        <v>0</v>
      </c>
      <c r="S224" s="57">
        <v>2</v>
      </c>
      <c r="T224" s="57">
        <v>5</v>
      </c>
      <c r="U224" s="57"/>
      <c r="V224" s="57"/>
      <c r="W224" s="1">
        <f>SUM(X224:BD224)*(num_weapons_base+num_weapons_mod*COUNT(X224:BD224))</f>
        <v>165.6224525748503</v>
      </c>
      <c r="X224" s="60">
        <f aca="true" t="shared" si="73" ref="X224:AD224">VLOOKUP(X223,weapon,2,FALSE)</f>
        <v>38.362500000000004</v>
      </c>
      <c r="Y224" s="60">
        <f t="shared" si="73"/>
        <v>24.251497005988025</v>
      </c>
      <c r="Z224" s="60">
        <f t="shared" si="73"/>
        <v>24.251497005988025</v>
      </c>
      <c r="AA224" s="60">
        <f t="shared" si="73"/>
        <v>13.950000000000001</v>
      </c>
      <c r="AB224" s="60">
        <f t="shared" si="73"/>
        <v>13.950000000000001</v>
      </c>
      <c r="AC224" s="60">
        <f t="shared" si="73"/>
        <v>13.950000000000001</v>
      </c>
      <c r="AD224" s="60">
        <f t="shared" si="73"/>
        <v>4.851</v>
      </c>
      <c r="AE224" s="60"/>
      <c r="AF224" s="60"/>
      <c r="AG224" s="60"/>
      <c r="AH224" s="60"/>
      <c r="AI224" s="60"/>
      <c r="AJ224" s="60"/>
      <c r="AK224" s="59"/>
      <c r="AL224" s="59"/>
      <c r="AM224" s="59"/>
      <c r="AN224" s="59"/>
      <c r="AO224" s="59"/>
      <c r="AP224" s="59"/>
      <c r="AQ224" s="59"/>
      <c r="AR224" s="59"/>
      <c r="AS224" s="59"/>
      <c r="AT224" s="59"/>
      <c r="AU224" s="59"/>
      <c r="AV224" s="59"/>
      <c r="AW224" s="59"/>
      <c r="AX224" s="59"/>
      <c r="AY224" s="43"/>
      <c r="AZ224" s="43"/>
      <c r="BA224" s="43"/>
      <c r="BB224" s="43"/>
      <c r="BC224" s="43"/>
      <c r="BD224" s="43"/>
      <c r="BE224" s="43"/>
      <c r="BF224" s="43"/>
      <c r="BG224" s="43"/>
    </row>
    <row r="225" spans="2:59" ht="12.75">
      <c r="B225" s="12"/>
      <c r="C225" s="42"/>
      <c r="D225" s="42"/>
      <c r="E225" s="57"/>
      <c r="F225" s="57"/>
      <c r="G225" s="58"/>
      <c r="H225" s="5"/>
      <c r="I225" s="5"/>
      <c r="J225" s="5"/>
      <c r="K225" s="57"/>
      <c r="L225" s="57"/>
      <c r="M225" s="57"/>
      <c r="N225" s="57"/>
      <c r="O225" s="57"/>
      <c r="P225" s="57"/>
      <c r="Q225" s="57"/>
      <c r="R225" s="57"/>
      <c r="S225" s="57"/>
      <c r="T225" s="57"/>
      <c r="U225" s="57"/>
      <c r="V225" s="57"/>
      <c r="W225" s="1"/>
      <c r="X225" s="43" t="s">
        <v>321</v>
      </c>
      <c r="Y225" s="43" t="s">
        <v>568</v>
      </c>
      <c r="Z225" s="43" t="s">
        <v>568</v>
      </c>
      <c r="AA225" s="43" t="s">
        <v>568</v>
      </c>
      <c r="AB225" s="43" t="s">
        <v>278</v>
      </c>
      <c r="AC225" s="43" t="s">
        <v>278</v>
      </c>
      <c r="AD225" s="43" t="s">
        <v>278</v>
      </c>
      <c r="AE225" s="43" t="s">
        <v>278</v>
      </c>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row>
    <row r="226" spans="2:59" ht="12.75">
      <c r="B226" s="12" t="s">
        <v>960</v>
      </c>
      <c r="C226" s="1">
        <f>E226*(VLOOKUP(D226,Race,2,FALSE)*(N226*init_bonus+O226+P226*front+Q226*Back+R226+S226*armour+SUM(T226:V226))*(Thrust_base+(I226/J226)/Thrust_div)*POWER(W226,Weapon_power))/(POWER(signature,(L226-M226)))*IF(K226="Y",gravitic,1)*IF(H226="Y",agile,1)/divisor</f>
        <v>142.66723855260406</v>
      </c>
      <c r="D226" s="1" t="s">
        <v>567</v>
      </c>
      <c r="E226" s="57">
        <v>1</v>
      </c>
      <c r="F226" s="57">
        <v>0</v>
      </c>
      <c r="G226" s="58">
        <v>0</v>
      </c>
      <c r="H226" s="5" t="s">
        <v>21</v>
      </c>
      <c r="I226" s="5">
        <v>12</v>
      </c>
      <c r="J226" s="5">
        <v>2</v>
      </c>
      <c r="K226" s="57" t="s">
        <v>21</v>
      </c>
      <c r="L226" s="57">
        <v>5</v>
      </c>
      <c r="M226" s="57">
        <v>5</v>
      </c>
      <c r="N226" s="57">
        <v>11</v>
      </c>
      <c r="O226" s="57">
        <v>60</v>
      </c>
      <c r="P226" s="57">
        <v>45</v>
      </c>
      <c r="Q226" s="57">
        <v>40</v>
      </c>
      <c r="R226" s="57">
        <v>0</v>
      </c>
      <c r="S226" s="57">
        <v>2</v>
      </c>
      <c r="T226" s="57">
        <v>6</v>
      </c>
      <c r="U226" s="57">
        <v>8</v>
      </c>
      <c r="V226" s="57"/>
      <c r="W226" s="1">
        <f>SUM(X226:BD226)*(num_weapons_base+num_weapons_mod*COUNT(X226:BD226))</f>
        <v>107.27410203592815</v>
      </c>
      <c r="X226" s="60">
        <f aca="true" t="shared" si="74" ref="X226:AE226">VLOOKUP(X225,weapon,2,FALSE)</f>
        <v>22.553892215568865</v>
      </c>
      <c r="Y226" s="60">
        <f t="shared" si="74"/>
        <v>13.950000000000001</v>
      </c>
      <c r="Z226" s="60">
        <f t="shared" si="74"/>
        <v>13.950000000000001</v>
      </c>
      <c r="AA226" s="60">
        <f t="shared" si="74"/>
        <v>13.950000000000001</v>
      </c>
      <c r="AB226" s="60">
        <f t="shared" si="74"/>
        <v>4.851</v>
      </c>
      <c r="AC226" s="60">
        <f t="shared" si="74"/>
        <v>4.851</v>
      </c>
      <c r="AD226" s="60">
        <f t="shared" si="74"/>
        <v>4.851</v>
      </c>
      <c r="AE226" s="60">
        <f t="shared" si="74"/>
        <v>4.851</v>
      </c>
      <c r="AF226" s="60"/>
      <c r="AG226" s="60"/>
      <c r="AH226" s="60"/>
      <c r="AI226" s="60"/>
      <c r="AJ226" s="60"/>
      <c r="AK226" s="59"/>
      <c r="AL226" s="59"/>
      <c r="AM226" s="59"/>
      <c r="AN226" s="59"/>
      <c r="AO226" s="59"/>
      <c r="AP226" s="59"/>
      <c r="AQ226" s="59"/>
      <c r="AR226" s="59"/>
      <c r="AS226" s="59"/>
      <c r="AT226" s="59"/>
      <c r="AU226" s="59"/>
      <c r="AV226" s="59"/>
      <c r="AW226" s="59"/>
      <c r="AX226" s="59"/>
      <c r="AY226" s="43"/>
      <c r="AZ226" s="43"/>
      <c r="BA226" s="43"/>
      <c r="BB226" s="43"/>
      <c r="BC226" s="43"/>
      <c r="BD226" s="43"/>
      <c r="BE226" s="43"/>
      <c r="BF226" s="43"/>
      <c r="BG226" s="43"/>
    </row>
    <row r="227" spans="2:59" ht="12.75">
      <c r="B227" s="12"/>
      <c r="C227" s="42"/>
      <c r="D227" s="42"/>
      <c r="E227" s="57"/>
      <c r="F227" s="57"/>
      <c r="G227" s="58"/>
      <c r="H227" s="5"/>
      <c r="I227" s="5"/>
      <c r="J227" s="5"/>
      <c r="K227" s="57"/>
      <c r="L227" s="57"/>
      <c r="M227" s="57"/>
      <c r="N227" s="57"/>
      <c r="O227" s="57"/>
      <c r="P227" s="57"/>
      <c r="Q227" s="57"/>
      <c r="R227" s="57"/>
      <c r="S227" s="57"/>
      <c r="T227" s="57"/>
      <c r="U227" s="57"/>
      <c r="V227" s="57"/>
      <c r="W227" s="1"/>
      <c r="X227" s="43" t="s">
        <v>796</v>
      </c>
      <c r="Y227" s="43"/>
      <c r="Z227" s="43"/>
      <c r="AA227" s="43"/>
      <c r="AB227" s="43"/>
      <c r="AC227" s="43"/>
      <c r="AD227" s="43"/>
      <c r="AE227" s="43"/>
      <c r="AF227" s="43"/>
      <c r="AG227" s="43"/>
      <c r="AH227" s="43"/>
      <c r="AI227" s="43"/>
      <c r="AJ227" s="43"/>
      <c r="AK227" s="59"/>
      <c r="AL227" s="59"/>
      <c r="AM227" s="59"/>
      <c r="AN227" s="59"/>
      <c r="AO227" s="59"/>
      <c r="AP227" s="59"/>
      <c r="AQ227" s="59"/>
      <c r="AR227" s="59"/>
      <c r="AS227" s="59"/>
      <c r="AT227" s="59"/>
      <c r="AU227" s="59"/>
      <c r="AV227" s="59"/>
      <c r="AW227" s="59"/>
      <c r="AX227" s="59"/>
      <c r="AY227" s="43"/>
      <c r="AZ227" s="43"/>
      <c r="BA227" s="43"/>
      <c r="BB227" s="43"/>
      <c r="BC227" s="43"/>
      <c r="BD227" s="43"/>
      <c r="BE227" s="43"/>
      <c r="BF227" s="43"/>
      <c r="BG227" s="43"/>
    </row>
    <row r="228" spans="2:59" ht="12.75">
      <c r="B228" s="12" t="s">
        <v>796</v>
      </c>
      <c r="C228" s="1">
        <f>E228*(VLOOKUP(D228,Race,2,FALSE)*(N228*init_bonus+O228+P228*front+Q228*Back+R228+S228*armour+SUM(T228:V228))*(Thrust_base+(I228/J228)/Thrust_div)*POWER(W228,Weapon_power))/(POWER(signature,(L228-M228)))*IF(K228="Y",gravitic,1)*IF(H228="Y",agile,1)/divisor</f>
        <v>4.7248517107522</v>
      </c>
      <c r="D228" s="1" t="s">
        <v>567</v>
      </c>
      <c r="E228" s="57">
        <v>1</v>
      </c>
      <c r="F228" s="57"/>
      <c r="G228" s="58"/>
      <c r="H228" s="5" t="s">
        <v>21</v>
      </c>
      <c r="I228" s="5">
        <v>15</v>
      </c>
      <c r="J228" s="5">
        <v>1</v>
      </c>
      <c r="K228" s="57" t="s">
        <v>21</v>
      </c>
      <c r="L228" s="57">
        <v>-6</v>
      </c>
      <c r="M228" s="57">
        <v>2</v>
      </c>
      <c r="N228" s="57">
        <v>17</v>
      </c>
      <c r="O228" s="57">
        <v>3</v>
      </c>
      <c r="P228" s="57">
        <v>0</v>
      </c>
      <c r="Q228" s="57">
        <v>0</v>
      </c>
      <c r="R228" s="57">
        <v>0</v>
      </c>
      <c r="S228" s="57">
        <v>0</v>
      </c>
      <c r="T228" s="57"/>
      <c r="U228" s="57"/>
      <c r="V228" s="57"/>
      <c r="W228" s="1">
        <f>SUM(X228:BD228)*(num_weapons_base+num_weapons_mod*COUNT(X228:BD228))</f>
        <v>4.504499999999999</v>
      </c>
      <c r="X228" s="60">
        <f>VLOOKUP(X227,weapon,2,FALSE)</f>
        <v>4.504499999999999</v>
      </c>
      <c r="Y228" s="60"/>
      <c r="Z228" s="60"/>
      <c r="AA228" s="60"/>
      <c r="AB228" s="60"/>
      <c r="AC228" s="60"/>
      <c r="AD228" s="60"/>
      <c r="AE228" s="60"/>
      <c r="AF228" s="60"/>
      <c r="AG228" s="60"/>
      <c r="AH228" s="60"/>
      <c r="AI228" s="60"/>
      <c r="AJ228" s="60"/>
      <c r="AK228" s="59"/>
      <c r="AL228" s="59"/>
      <c r="AM228" s="59"/>
      <c r="AN228" s="59"/>
      <c r="AO228" s="59"/>
      <c r="AP228" s="59"/>
      <c r="AQ228" s="59"/>
      <c r="AR228" s="59"/>
      <c r="AS228" s="59"/>
      <c r="AT228" s="59"/>
      <c r="AU228" s="59"/>
      <c r="AV228" s="59"/>
      <c r="AW228" s="59"/>
      <c r="AX228" s="59"/>
      <c r="AY228" s="43"/>
      <c r="AZ228" s="43"/>
      <c r="BA228" s="43"/>
      <c r="BB228" s="43"/>
      <c r="BC228" s="43"/>
      <c r="BD228" s="43"/>
      <c r="BE228" s="43"/>
      <c r="BF228" s="43"/>
      <c r="BG228" s="43"/>
    </row>
    <row r="229" spans="1:59" s="191" customFormat="1" ht="12.75">
      <c r="A229" s="189" t="s">
        <v>571</v>
      </c>
      <c r="B229" s="197"/>
      <c r="C229" s="42"/>
      <c r="D229" s="192"/>
      <c r="E229" s="193"/>
      <c r="F229" s="193"/>
      <c r="G229" s="194"/>
      <c r="H229" s="198"/>
      <c r="I229" s="198"/>
      <c r="J229" s="198"/>
      <c r="K229" s="193"/>
      <c r="L229" s="193"/>
      <c r="M229" s="193"/>
      <c r="N229" s="193"/>
      <c r="O229" s="193"/>
      <c r="P229" s="193"/>
      <c r="Q229" s="193"/>
      <c r="R229" s="193"/>
      <c r="S229" s="193"/>
      <c r="T229" s="193"/>
      <c r="U229" s="193"/>
      <c r="V229" s="193"/>
      <c r="W229" s="190"/>
      <c r="X229" s="196"/>
      <c r="Y229" s="196"/>
      <c r="Z229" s="196"/>
      <c r="AA229" s="196"/>
      <c r="AB229" s="196"/>
      <c r="AC229" s="196"/>
      <c r="AD229" s="196"/>
      <c r="AE229" s="196"/>
      <c r="AF229" s="196"/>
      <c r="AG229" s="196"/>
      <c r="AH229" s="196"/>
      <c r="AI229" s="196"/>
      <c r="AJ229" s="196"/>
      <c r="AK229" s="193"/>
      <c r="AL229" s="193"/>
      <c r="AM229" s="193"/>
      <c r="AN229" s="193"/>
      <c r="AO229" s="193"/>
      <c r="AP229" s="193"/>
      <c r="AQ229" s="193"/>
      <c r="AR229" s="193"/>
      <c r="AS229" s="193"/>
      <c r="AT229" s="193"/>
      <c r="AU229" s="193"/>
      <c r="AV229" s="193"/>
      <c r="AW229" s="193"/>
      <c r="AX229" s="193"/>
      <c r="AY229" s="196"/>
      <c r="AZ229" s="196"/>
      <c r="BA229" s="196"/>
      <c r="BB229" s="196"/>
      <c r="BC229" s="196"/>
      <c r="BD229" s="196"/>
      <c r="BE229" s="196"/>
      <c r="BF229" s="196"/>
      <c r="BG229" s="196"/>
    </row>
    <row r="230" spans="3:59" s="191" customFormat="1" ht="12.75">
      <c r="C230" s="1" t="e">
        <f>E230*(VLOOKUP(D230,Race,2,FALSE)*(N230*init_bonus+O230+P230*front+Q230*Back+R230+S230*armour+SUM(T230:V230))*(Thrust_base+(I230/J230)/Thrust_div)*POWER(W230,Weapon_power))/(POWER(signature,(L230-M230)))*IF(K230="Y",gravitic,1)*IF(H230="Y",agile,1)/divisor</f>
        <v>#N/A</v>
      </c>
      <c r="D230" s="198"/>
      <c r="E230" s="198"/>
      <c r="F230" s="198"/>
      <c r="G230" s="125"/>
      <c r="H230" s="198"/>
      <c r="I230" s="198"/>
      <c r="J230" s="198"/>
      <c r="K230" s="198"/>
      <c r="L230" s="198"/>
      <c r="M230" s="198"/>
      <c r="N230" s="198"/>
      <c r="O230" s="198"/>
      <c r="P230" s="198"/>
      <c r="Q230" s="198"/>
      <c r="R230" s="198"/>
      <c r="S230" s="198"/>
      <c r="T230" s="198"/>
      <c r="U230" s="198"/>
      <c r="V230" s="198"/>
      <c r="W230" s="190">
        <f>SUM(X230:BD230)*(num_weapons_base+num_weapons_mod*COUNT(X230:BD230))</f>
        <v>0</v>
      </c>
      <c r="X230" s="196"/>
      <c r="Y230" s="196"/>
      <c r="Z230" s="196"/>
      <c r="AA230" s="196"/>
      <c r="AB230" s="196"/>
      <c r="AC230" s="196"/>
      <c r="AD230" s="196"/>
      <c r="AE230" s="196"/>
      <c r="AF230" s="196"/>
      <c r="AG230" s="196"/>
      <c r="AH230" s="196"/>
      <c r="AI230" s="196"/>
      <c r="AJ230" s="196"/>
      <c r="AK230" s="196"/>
      <c r="AL230" s="196"/>
      <c r="AM230" s="196"/>
      <c r="AN230" s="198"/>
      <c r="AO230" s="196"/>
      <c r="AP230" s="196"/>
      <c r="AQ230" s="196"/>
      <c r="AR230" s="196"/>
      <c r="AS230" s="196"/>
      <c r="AT230" s="196"/>
      <c r="AU230" s="196"/>
      <c r="AV230" s="196"/>
      <c r="AW230" s="196"/>
      <c r="AX230" s="196"/>
      <c r="AY230" s="196"/>
      <c r="AZ230" s="196"/>
      <c r="BA230" s="196"/>
      <c r="BB230" s="196"/>
      <c r="BC230" s="196"/>
      <c r="BD230" s="196"/>
      <c r="BE230" s="196"/>
      <c r="BF230" s="196"/>
      <c r="BG230" s="196"/>
    </row>
    <row r="231" spans="1:59" s="191" customFormat="1" ht="12.75">
      <c r="A231" s="141"/>
      <c r="B231" s="135"/>
      <c r="C231" s="42"/>
      <c r="D231" s="214"/>
      <c r="E231" s="214"/>
      <c r="F231" s="214"/>
      <c r="G231" s="139"/>
      <c r="H231" s="214"/>
      <c r="I231" s="214"/>
      <c r="J231" s="214"/>
      <c r="K231" s="214"/>
      <c r="L231" s="214"/>
      <c r="M231" s="214"/>
      <c r="N231" s="214"/>
      <c r="O231" s="214"/>
      <c r="P231" s="214"/>
      <c r="Q231" s="214"/>
      <c r="R231" s="214"/>
      <c r="S231" s="214"/>
      <c r="T231" s="214"/>
      <c r="U231" s="214"/>
      <c r="V231" s="214"/>
      <c r="W231" s="216"/>
      <c r="X231" s="43" t="s">
        <v>174</v>
      </c>
      <c r="Y231" s="43" t="s">
        <v>164</v>
      </c>
      <c r="Z231" s="43" t="s">
        <v>164</v>
      </c>
      <c r="AA231" s="43" t="s">
        <v>164</v>
      </c>
      <c r="AB231" s="43" t="s">
        <v>164</v>
      </c>
      <c r="AC231" s="43" t="s">
        <v>164</v>
      </c>
      <c r="AD231" s="43" t="s">
        <v>164</v>
      </c>
      <c r="AE231" s="43" t="s">
        <v>164</v>
      </c>
      <c r="AF231" s="43" t="s">
        <v>164</v>
      </c>
      <c r="AG231" s="43"/>
      <c r="AH231" s="43"/>
      <c r="AI231" s="43"/>
      <c r="AJ231" s="43"/>
      <c r="AK231" s="43"/>
      <c r="AL231" s="43"/>
      <c r="AM231" s="43"/>
      <c r="AN231" s="44"/>
      <c r="AO231" s="43"/>
      <c r="AP231" s="43"/>
      <c r="AQ231" s="43"/>
      <c r="AR231" s="43"/>
      <c r="AS231" s="43"/>
      <c r="AT231" s="43"/>
      <c r="AU231" s="43"/>
      <c r="AV231" s="43"/>
      <c r="AW231" s="43"/>
      <c r="AX231" s="43"/>
      <c r="AY231" s="43"/>
      <c r="AZ231" s="43"/>
      <c r="BA231" s="43"/>
      <c r="BB231" s="43"/>
      <c r="BC231" s="43"/>
      <c r="BD231" s="43"/>
      <c r="BE231" s="43"/>
      <c r="BF231" s="43"/>
      <c r="BG231" s="43"/>
    </row>
    <row r="232" spans="2:59" ht="12.75">
      <c r="B232" s="12" t="s">
        <v>572</v>
      </c>
      <c r="C232" s="1">
        <f>E232*(VLOOKUP(D232,Race,2,FALSE)*(N232*init_bonus+O232+P232*front+Q232*Back+R232+S232*armour+SUM(T232:V232))*(Thrust_base+(I232/J232)/Thrust_div)*POWER(W232,Weapon_power))/(POWER(signature,(L232-M232)))*IF(K232="Y",gravitic,1)*IF(H232="Y",agile,1)/divisor</f>
        <v>113.26955185702708</v>
      </c>
      <c r="D232" s="1" t="s">
        <v>571</v>
      </c>
      <c r="E232" s="5">
        <v>1</v>
      </c>
      <c r="F232" s="5">
        <v>0</v>
      </c>
      <c r="G232" s="7">
        <v>0</v>
      </c>
      <c r="H232" s="5" t="s">
        <v>21</v>
      </c>
      <c r="I232" s="5">
        <v>7</v>
      </c>
      <c r="J232" s="5">
        <v>2</v>
      </c>
      <c r="K232" s="5" t="s">
        <v>2</v>
      </c>
      <c r="L232" s="5">
        <v>8</v>
      </c>
      <c r="M232" s="5">
        <v>11</v>
      </c>
      <c r="N232" s="5">
        <v>6</v>
      </c>
      <c r="O232" s="5">
        <v>50</v>
      </c>
      <c r="P232" s="5">
        <v>60</v>
      </c>
      <c r="Q232" s="5">
        <v>60</v>
      </c>
      <c r="R232" s="5">
        <v>0</v>
      </c>
      <c r="S232" s="5">
        <v>4</v>
      </c>
      <c r="T232" s="5"/>
      <c r="U232" s="5"/>
      <c r="V232" s="5"/>
      <c r="W232" s="1">
        <f>SUM(X232:BD232)*(num_weapons_base+num_weapons_mod*COUNT(X232:BD232))</f>
        <v>61.52445700598804</v>
      </c>
      <c r="X232" s="60">
        <f aca="true" t="shared" si="75" ref="X232:AF232">VLOOKUP(X231,weapon,2,FALSE)</f>
        <v>46.60943712574852</v>
      </c>
      <c r="Y232" s="60">
        <f t="shared" si="75"/>
        <v>0</v>
      </c>
      <c r="Z232" s="60">
        <f t="shared" si="75"/>
        <v>0</v>
      </c>
      <c r="AA232" s="60">
        <f t="shared" si="75"/>
        <v>0</v>
      </c>
      <c r="AB232" s="60">
        <f t="shared" si="75"/>
        <v>0</v>
      </c>
      <c r="AC232" s="60">
        <f t="shared" si="75"/>
        <v>0</v>
      </c>
      <c r="AD232" s="60">
        <f t="shared" si="75"/>
        <v>0</v>
      </c>
      <c r="AE232" s="60">
        <f t="shared" si="75"/>
        <v>0</v>
      </c>
      <c r="AF232" s="60">
        <f t="shared" si="75"/>
        <v>0</v>
      </c>
      <c r="AG232" s="60"/>
      <c r="AH232" s="43"/>
      <c r="AI232" s="43"/>
      <c r="AJ232" s="43"/>
      <c r="AK232" s="43"/>
      <c r="AL232" s="43"/>
      <c r="AM232" s="43"/>
      <c r="AN232" s="44"/>
      <c r="AO232" s="43"/>
      <c r="AP232" s="43"/>
      <c r="AQ232" s="43"/>
      <c r="AR232" s="43"/>
      <c r="AS232" s="43"/>
      <c r="AT232" s="43"/>
      <c r="AU232" s="43"/>
      <c r="AV232" s="43"/>
      <c r="AW232" s="43"/>
      <c r="AX232" s="43"/>
      <c r="AY232" s="43"/>
      <c r="AZ232" s="43"/>
      <c r="BA232" s="43"/>
      <c r="BB232" s="43"/>
      <c r="BC232" s="43"/>
      <c r="BD232" s="43"/>
      <c r="BE232" s="43"/>
      <c r="BF232" s="43"/>
      <c r="BG232" s="43"/>
    </row>
    <row r="233" spans="2:59" ht="12.75">
      <c r="B233" s="15"/>
      <c r="C233" s="42"/>
      <c r="D233" s="42"/>
      <c r="E233" s="5"/>
      <c r="F233" s="5"/>
      <c r="G233" s="7"/>
      <c r="H233" s="5"/>
      <c r="I233" s="5"/>
      <c r="J233" s="5"/>
      <c r="K233" s="5"/>
      <c r="L233" s="5"/>
      <c r="M233" s="5"/>
      <c r="N233" s="5"/>
      <c r="O233" s="5"/>
      <c r="P233" s="5"/>
      <c r="Q233" s="5"/>
      <c r="R233" s="5"/>
      <c r="S233" s="5"/>
      <c r="T233" s="5"/>
      <c r="U233" s="5"/>
      <c r="V233" s="5"/>
      <c r="W233" s="1"/>
      <c r="X233" s="43" t="s">
        <v>174</v>
      </c>
      <c r="Y233" s="43" t="s">
        <v>164</v>
      </c>
      <c r="Z233" s="43" t="s">
        <v>164</v>
      </c>
      <c r="AA233" s="43" t="s">
        <v>164</v>
      </c>
      <c r="AB233" s="43" t="s">
        <v>164</v>
      </c>
      <c r="AC233" s="43" t="s">
        <v>164</v>
      </c>
      <c r="AD233" s="43"/>
      <c r="AE233" s="43"/>
      <c r="AF233" s="43"/>
      <c r="AG233" s="43"/>
      <c r="AH233" s="43"/>
      <c r="AI233" s="43"/>
      <c r="AJ233" s="43"/>
      <c r="AK233" s="43"/>
      <c r="AL233" s="43"/>
      <c r="AM233" s="43"/>
      <c r="AN233" s="44"/>
      <c r="AO233" s="43"/>
      <c r="AP233" s="43"/>
      <c r="AQ233" s="43"/>
      <c r="AR233" s="43"/>
      <c r="AS233" s="43"/>
      <c r="AT233" s="43"/>
      <c r="AU233" s="43"/>
      <c r="AV233" s="43"/>
      <c r="AW233" s="43"/>
      <c r="AX233" s="43"/>
      <c r="AY233" s="43"/>
      <c r="AZ233" s="43"/>
      <c r="BA233" s="43"/>
      <c r="BB233" s="43"/>
      <c r="BC233" s="43"/>
      <c r="BD233" s="43"/>
      <c r="BE233" s="43"/>
      <c r="BF233" s="43"/>
      <c r="BG233" s="43"/>
    </row>
    <row r="234" spans="2:59" ht="12.75">
      <c r="B234" s="12" t="s">
        <v>573</v>
      </c>
      <c r="C234" s="1">
        <f>E234*(VLOOKUP(D234,Race,2,FALSE)*(N234*init_bonus+O234+P234*front+Q234*Back+R234+S234*armour+SUM(T234:V234))*(Thrust_base+(I234/J234)/Thrust_div)*POWER(W234,Weapon_power))/(POWER(signature,(L234-M234)))*IF(K234="Y",gravitic,1)*IF(H234="Y",agile,1)/divisor</f>
        <v>52.90038949471526</v>
      </c>
      <c r="D234" s="1" t="s">
        <v>571</v>
      </c>
      <c r="E234" s="5">
        <v>1</v>
      </c>
      <c r="F234" s="5">
        <v>0</v>
      </c>
      <c r="G234" s="7">
        <v>0</v>
      </c>
      <c r="H234" s="5" t="s">
        <v>21</v>
      </c>
      <c r="I234" s="5">
        <v>6</v>
      </c>
      <c r="J234" s="5">
        <v>2</v>
      </c>
      <c r="K234" s="5" t="s">
        <v>2</v>
      </c>
      <c r="L234" s="5">
        <v>7</v>
      </c>
      <c r="M234" s="5">
        <v>4</v>
      </c>
      <c r="N234" s="5">
        <v>12</v>
      </c>
      <c r="O234" s="5">
        <v>60</v>
      </c>
      <c r="P234" s="5">
        <v>0</v>
      </c>
      <c r="Q234" s="5">
        <v>0</v>
      </c>
      <c r="R234" s="5">
        <v>0</v>
      </c>
      <c r="S234" s="5">
        <v>3</v>
      </c>
      <c r="T234" s="5"/>
      <c r="U234" s="5"/>
      <c r="V234" s="5"/>
      <c r="W234" s="1">
        <f>SUM(X234:BD234)*(num_weapons_base+num_weapons_mod*COUNT(X234:BD234))</f>
        <v>55.931324550898225</v>
      </c>
      <c r="X234" s="60">
        <f aca="true" t="shared" si="76" ref="X234:AC234">VLOOKUP(X233,weapon,2,FALSE)</f>
        <v>46.60943712574852</v>
      </c>
      <c r="Y234" s="60">
        <f t="shared" si="76"/>
        <v>0</v>
      </c>
      <c r="Z234" s="60">
        <f t="shared" si="76"/>
        <v>0</v>
      </c>
      <c r="AA234" s="60">
        <f t="shared" si="76"/>
        <v>0</v>
      </c>
      <c r="AB234" s="60">
        <f t="shared" si="76"/>
        <v>0</v>
      </c>
      <c r="AC234" s="60">
        <f t="shared" si="76"/>
        <v>0</v>
      </c>
      <c r="AD234" s="43"/>
      <c r="AE234" s="43"/>
      <c r="AF234" s="43"/>
      <c r="AG234" s="43"/>
      <c r="AH234" s="43"/>
      <c r="AI234" s="43"/>
      <c r="AJ234" s="43"/>
      <c r="AK234" s="43"/>
      <c r="AL234" s="43"/>
      <c r="AM234" s="43"/>
      <c r="AN234" s="44"/>
      <c r="AO234" s="43"/>
      <c r="AP234" s="43"/>
      <c r="AQ234" s="43"/>
      <c r="AR234" s="43"/>
      <c r="AS234" s="43"/>
      <c r="AT234" s="43"/>
      <c r="AU234" s="43"/>
      <c r="AV234" s="43"/>
      <c r="AW234" s="43"/>
      <c r="AX234" s="43"/>
      <c r="AY234" s="43"/>
      <c r="AZ234" s="43"/>
      <c r="BA234" s="43"/>
      <c r="BB234" s="43"/>
      <c r="BC234" s="43"/>
      <c r="BD234" s="43"/>
      <c r="BE234" s="43"/>
      <c r="BF234" s="43"/>
      <c r="BG234" s="43"/>
    </row>
    <row r="235" spans="2:59" ht="12.75">
      <c r="B235" s="12"/>
      <c r="C235" s="42"/>
      <c r="D235" s="42"/>
      <c r="E235" s="5"/>
      <c r="F235" s="5"/>
      <c r="G235" s="7"/>
      <c r="H235" s="5"/>
      <c r="I235" s="5"/>
      <c r="J235" s="5"/>
      <c r="K235" s="5"/>
      <c r="L235" s="5"/>
      <c r="M235" s="5"/>
      <c r="N235" s="5"/>
      <c r="O235" s="5"/>
      <c r="P235" s="5"/>
      <c r="Q235" s="5"/>
      <c r="R235" s="5"/>
      <c r="S235" s="5"/>
      <c r="T235" s="5"/>
      <c r="U235" s="5"/>
      <c r="V235" s="5"/>
      <c r="W235" s="1"/>
      <c r="X235" s="43" t="s">
        <v>167</v>
      </c>
      <c r="Y235" s="43" t="s">
        <v>167</v>
      </c>
      <c r="Z235" s="43" t="s">
        <v>167</v>
      </c>
      <c r="AA235" s="43" t="s">
        <v>167</v>
      </c>
      <c r="AB235" s="43" t="s">
        <v>167</v>
      </c>
      <c r="AC235" s="43" t="s">
        <v>167</v>
      </c>
      <c r="AD235" s="43" t="s">
        <v>167</v>
      </c>
      <c r="AE235" s="43" t="s">
        <v>167</v>
      </c>
      <c r="AF235" s="43" t="s">
        <v>167</v>
      </c>
      <c r="AG235" s="43" t="s">
        <v>167</v>
      </c>
      <c r="AH235" s="43" t="s">
        <v>167</v>
      </c>
      <c r="AI235" s="43" t="s">
        <v>167</v>
      </c>
      <c r="AJ235" s="43"/>
      <c r="AK235" s="43"/>
      <c r="AL235" s="43"/>
      <c r="AM235" s="43"/>
      <c r="AN235" s="44"/>
      <c r="AO235" s="43"/>
      <c r="AP235" s="43"/>
      <c r="AQ235" s="43"/>
      <c r="AR235" s="43"/>
      <c r="AS235" s="43"/>
      <c r="AT235" s="43"/>
      <c r="AU235" s="43"/>
      <c r="AV235" s="43"/>
      <c r="AW235" s="43"/>
      <c r="AX235" s="43"/>
      <c r="AY235" s="43"/>
      <c r="AZ235" s="43"/>
      <c r="BA235" s="43"/>
      <c r="BB235" s="43"/>
      <c r="BC235" s="43"/>
      <c r="BD235" s="43"/>
      <c r="BE235" s="43"/>
      <c r="BF235" s="43"/>
      <c r="BG235" s="43"/>
    </row>
    <row r="236" spans="2:59" ht="12.75">
      <c r="B236" s="12" t="s">
        <v>1012</v>
      </c>
      <c r="C236" s="1">
        <f>E236*(VLOOKUP(D236,Race,2,FALSE)*(N236*init_bonus+O236+P236*front+Q236*Back+R236+S236*armour+SUM(T236:V236))*(Thrust_base+(I236/J236)/Thrust_div)*POWER(W236,Weapon_power))/(POWER(signature,(L236-M236)))*IF(K236="Y",gravitic,1)*IF(H236="Y",agile,1)/divisor</f>
        <v>621.7226415723128</v>
      </c>
      <c r="D236" s="1" t="s">
        <v>571</v>
      </c>
      <c r="E236" s="5">
        <v>1</v>
      </c>
      <c r="F236" s="5">
        <v>0</v>
      </c>
      <c r="G236" s="7">
        <v>0</v>
      </c>
      <c r="H236" s="5" t="s">
        <v>21</v>
      </c>
      <c r="I236" s="5">
        <v>9</v>
      </c>
      <c r="J236" s="5">
        <v>4</v>
      </c>
      <c r="K236" s="5" t="s">
        <v>2</v>
      </c>
      <c r="L236" s="5">
        <v>10</v>
      </c>
      <c r="M236" s="5">
        <v>9</v>
      </c>
      <c r="N236" s="5">
        <v>0</v>
      </c>
      <c r="O236" s="5">
        <v>40</v>
      </c>
      <c r="P236" s="5">
        <v>72</v>
      </c>
      <c r="Q236" s="5">
        <v>72</v>
      </c>
      <c r="R236" s="5">
        <v>0</v>
      </c>
      <c r="S236" s="5">
        <v>4</v>
      </c>
      <c r="T236" s="5"/>
      <c r="U236" s="5"/>
      <c r="V236" s="5"/>
      <c r="W236" s="1">
        <f>SUM(X236:BD236)*(num_weapons_base+num_weapons_mod*COUNT(X236:BD236))</f>
        <v>485.22240000000005</v>
      </c>
      <c r="X236" s="60">
        <f aca="true" t="shared" si="77" ref="X236:AE236">VLOOKUP(X235,weapon,2,FALSE)</f>
        <v>28.080000000000002</v>
      </c>
      <c r="Y236" s="60">
        <f t="shared" si="77"/>
        <v>28.080000000000002</v>
      </c>
      <c r="Z236" s="60">
        <f t="shared" si="77"/>
        <v>28.080000000000002</v>
      </c>
      <c r="AA236" s="60">
        <f t="shared" si="77"/>
        <v>28.080000000000002</v>
      </c>
      <c r="AB236" s="60">
        <f t="shared" si="77"/>
        <v>28.080000000000002</v>
      </c>
      <c r="AC236" s="60">
        <f t="shared" si="77"/>
        <v>28.080000000000002</v>
      </c>
      <c r="AD236" s="60">
        <f t="shared" si="77"/>
        <v>28.080000000000002</v>
      </c>
      <c r="AE236" s="60">
        <f t="shared" si="77"/>
        <v>28.080000000000002</v>
      </c>
      <c r="AF236" s="60">
        <f>VLOOKUP(AF235,weapon,2,FALSE)</f>
        <v>28.080000000000002</v>
      </c>
      <c r="AG236" s="60">
        <f>VLOOKUP(AG235,weapon,2,FALSE)</f>
        <v>28.080000000000002</v>
      </c>
      <c r="AH236" s="60">
        <f>VLOOKUP(AH235,weapon,2,FALSE)</f>
        <v>28.080000000000002</v>
      </c>
      <c r="AI236" s="60">
        <f>VLOOKUP(AI235,weapon,2,FALSE)</f>
        <v>28.080000000000002</v>
      </c>
      <c r="AJ236" s="43"/>
      <c r="AK236" s="43"/>
      <c r="AL236" s="43"/>
      <c r="AM236" s="43"/>
      <c r="AN236" s="44"/>
      <c r="AO236" s="43"/>
      <c r="AP236" s="43"/>
      <c r="AQ236" s="43"/>
      <c r="AR236" s="43"/>
      <c r="AS236" s="43"/>
      <c r="AT236" s="43"/>
      <c r="AU236" s="43"/>
      <c r="AV236" s="43"/>
      <c r="AW236" s="43"/>
      <c r="AX236" s="43"/>
      <c r="AY236" s="43"/>
      <c r="AZ236" s="43"/>
      <c r="BA236" s="43"/>
      <c r="BB236" s="43"/>
      <c r="BC236" s="43"/>
      <c r="BD236" s="43"/>
      <c r="BE236" s="43"/>
      <c r="BF236" s="43"/>
      <c r="BG236" s="43"/>
    </row>
    <row r="237" spans="3:59" ht="12.75">
      <c r="C237" s="42"/>
      <c r="D237" s="42"/>
      <c r="E237" s="5"/>
      <c r="F237" s="5"/>
      <c r="G237" s="7"/>
      <c r="H237" s="5"/>
      <c r="I237" s="5"/>
      <c r="J237" s="5"/>
      <c r="K237" s="5"/>
      <c r="L237" s="5"/>
      <c r="M237" s="5"/>
      <c r="N237" s="5"/>
      <c r="O237" s="5"/>
      <c r="P237" s="5"/>
      <c r="Q237" s="5"/>
      <c r="R237" s="5"/>
      <c r="S237" s="5"/>
      <c r="T237" s="5"/>
      <c r="U237" s="5"/>
      <c r="V237" s="5"/>
      <c r="W237" s="1"/>
      <c r="X237" s="43" t="s">
        <v>179</v>
      </c>
      <c r="Y237" s="43" t="s">
        <v>179</v>
      </c>
      <c r="Z237" s="43" t="s">
        <v>174</v>
      </c>
      <c r="AA237" s="43" t="s">
        <v>174</v>
      </c>
      <c r="AB237" s="43" t="s">
        <v>167</v>
      </c>
      <c r="AC237" s="43" t="s">
        <v>167</v>
      </c>
      <c r="AD237" s="43" t="s">
        <v>167</v>
      </c>
      <c r="AE237" s="43" t="s">
        <v>167</v>
      </c>
      <c r="AF237" s="43" t="s">
        <v>167</v>
      </c>
      <c r="AG237" s="43" t="s">
        <v>167</v>
      </c>
      <c r="AH237" s="43" t="s">
        <v>167</v>
      </c>
      <c r="AI237" s="43" t="s">
        <v>167</v>
      </c>
      <c r="AJ237" s="43" t="s">
        <v>167</v>
      </c>
      <c r="AK237" s="43" t="s">
        <v>167</v>
      </c>
      <c r="AL237" s="43" t="s">
        <v>167</v>
      </c>
      <c r="AM237" s="43" t="s">
        <v>167</v>
      </c>
      <c r="AO237" s="43"/>
      <c r="AP237" s="43"/>
      <c r="AQ237" s="43"/>
      <c r="AR237" s="43"/>
      <c r="AS237" s="43"/>
      <c r="AT237" s="43"/>
      <c r="AU237" s="43"/>
      <c r="AV237" s="43"/>
      <c r="AW237" s="43"/>
      <c r="AX237" s="43"/>
      <c r="AY237" s="43"/>
      <c r="AZ237" s="43"/>
      <c r="BA237" s="43"/>
      <c r="BB237" s="43"/>
      <c r="BC237" s="43"/>
      <c r="BD237" s="43"/>
      <c r="BE237" s="43"/>
      <c r="BF237" s="43"/>
      <c r="BG237" s="43"/>
    </row>
    <row r="238" spans="2:59" ht="12.75">
      <c r="B238" s="12" t="s">
        <v>574</v>
      </c>
      <c r="C238" s="1">
        <f>E238*(VLOOKUP(D238,Race,2,FALSE)*(N238*init_bonus+O238+P238*front+Q238*Back+R238+S238*armour+SUM(T238:V238))*(Thrust_base+(I238/J238)/Thrust_div)*POWER(W238,Weapon_power))/(POWER(signature,(L238-M238)))*IF(K238="Y",gravitic,1)*IF(H238="Y",agile,1)/divisor</f>
        <v>587.9509139326665</v>
      </c>
      <c r="D238" s="1" t="s">
        <v>571</v>
      </c>
      <c r="E238" s="5">
        <v>1</v>
      </c>
      <c r="F238" s="5">
        <v>0</v>
      </c>
      <c r="G238" s="7">
        <v>0</v>
      </c>
      <c r="H238" s="5" t="s">
        <v>21</v>
      </c>
      <c r="I238" s="5">
        <v>9</v>
      </c>
      <c r="J238" s="5">
        <v>4</v>
      </c>
      <c r="K238" s="5" t="s">
        <v>2</v>
      </c>
      <c r="L238" s="5">
        <v>11</v>
      </c>
      <c r="M238" s="5">
        <v>10</v>
      </c>
      <c r="N238" s="5">
        <v>2</v>
      </c>
      <c r="O238" s="5">
        <v>44</v>
      </c>
      <c r="P238" s="5">
        <v>90</v>
      </c>
      <c r="Q238" s="5">
        <v>90</v>
      </c>
      <c r="R238" s="5">
        <v>0</v>
      </c>
      <c r="S238" s="5">
        <v>5</v>
      </c>
      <c r="T238" s="5"/>
      <c r="U238" s="5"/>
      <c r="V238" s="5"/>
      <c r="W238" s="1">
        <f>SUM(X238:BD238)*(num_weapons_base+num_weapons_mod*COUNT(X238:BD238))</f>
        <v>368.31035784431145</v>
      </c>
      <c r="X238" s="60">
        <f aca="true" t="shared" si="78" ref="X238:AE238">VLOOKUP(X237,weapon,2,FALSE)</f>
        <v>41.10179640718564</v>
      </c>
      <c r="Y238" s="60">
        <f t="shared" si="78"/>
        <v>41.10179640718564</v>
      </c>
      <c r="Z238" s="60">
        <f t="shared" si="78"/>
        <v>46.60943712574852</v>
      </c>
      <c r="AA238" s="60">
        <f t="shared" si="78"/>
        <v>46.60943712574852</v>
      </c>
      <c r="AB238" s="60">
        <f t="shared" si="78"/>
        <v>28.080000000000002</v>
      </c>
      <c r="AC238" s="60">
        <f t="shared" si="78"/>
        <v>28.080000000000002</v>
      </c>
      <c r="AD238" s="60">
        <f t="shared" si="78"/>
        <v>28.080000000000002</v>
      </c>
      <c r="AE238" s="60">
        <f t="shared" si="78"/>
        <v>28.080000000000002</v>
      </c>
      <c r="AF238" s="60"/>
      <c r="AG238" s="43"/>
      <c r="AH238" s="43"/>
      <c r="AI238" s="43"/>
      <c r="AJ238" s="43"/>
      <c r="AK238" s="43"/>
      <c r="AL238" s="43"/>
      <c r="AM238" s="43"/>
      <c r="AN238" s="44"/>
      <c r="AO238" s="43"/>
      <c r="AP238" s="43"/>
      <c r="AQ238" s="43"/>
      <c r="AR238" s="43"/>
      <c r="AS238" s="43"/>
      <c r="AT238" s="43"/>
      <c r="AU238" s="43"/>
      <c r="AV238" s="43"/>
      <c r="AW238" s="43"/>
      <c r="AX238" s="43"/>
      <c r="AY238" s="43"/>
      <c r="AZ238" s="43"/>
      <c r="BA238" s="43"/>
      <c r="BB238" s="43"/>
      <c r="BC238" s="43"/>
      <c r="BD238" s="43"/>
      <c r="BE238" s="43"/>
      <c r="BF238" s="43"/>
      <c r="BG238" s="43"/>
    </row>
    <row r="239" spans="3:59" ht="12.75">
      <c r="C239" s="42"/>
      <c r="D239" s="42"/>
      <c r="E239" s="5"/>
      <c r="F239" s="5"/>
      <c r="G239" s="7"/>
      <c r="H239" s="5"/>
      <c r="I239" s="5"/>
      <c r="J239" s="5"/>
      <c r="K239" s="5"/>
      <c r="L239" s="5"/>
      <c r="M239" s="5"/>
      <c r="N239" s="5"/>
      <c r="O239" s="5"/>
      <c r="P239" s="5"/>
      <c r="Q239" s="5"/>
      <c r="R239" s="5"/>
      <c r="S239" s="5"/>
      <c r="T239" s="5"/>
      <c r="U239" s="5"/>
      <c r="V239" s="5"/>
      <c r="W239" s="1"/>
      <c r="X239" s="43" t="s">
        <v>174</v>
      </c>
      <c r="Y239" s="43" t="s">
        <v>164</v>
      </c>
      <c r="Z239" s="43" t="s">
        <v>164</v>
      </c>
      <c r="AA239" s="43" t="s">
        <v>164</v>
      </c>
      <c r="AB239" s="43" t="s">
        <v>164</v>
      </c>
      <c r="AC239" s="43" t="s">
        <v>164</v>
      </c>
      <c r="AD239" s="43" t="s">
        <v>164</v>
      </c>
      <c r="AE239" s="43" t="s">
        <v>164</v>
      </c>
      <c r="AF239" s="43" t="s">
        <v>164</v>
      </c>
      <c r="AG239" s="43" t="s">
        <v>164</v>
      </c>
      <c r="AH239" s="43" t="s">
        <v>164</v>
      </c>
      <c r="AI239" s="43" t="s">
        <v>164</v>
      </c>
      <c r="AJ239" s="43" t="s">
        <v>164</v>
      </c>
      <c r="AK239" s="43" t="s">
        <v>164</v>
      </c>
      <c r="AL239" s="43" t="s">
        <v>164</v>
      </c>
      <c r="AM239" s="43"/>
      <c r="AO239" s="43"/>
      <c r="AP239" s="43"/>
      <c r="AQ239" s="43"/>
      <c r="AR239" s="43"/>
      <c r="AS239" s="43"/>
      <c r="AT239" s="43"/>
      <c r="AU239" s="43"/>
      <c r="AV239" s="43"/>
      <c r="AW239" s="43"/>
      <c r="AX239" s="43"/>
      <c r="AY239" s="43"/>
      <c r="AZ239" s="43"/>
      <c r="BA239" s="43"/>
      <c r="BB239" s="43"/>
      <c r="BC239" s="43"/>
      <c r="BD239" s="43"/>
      <c r="BE239" s="43"/>
      <c r="BF239" s="43"/>
      <c r="BG239" s="43"/>
    </row>
    <row r="240" spans="2:59" ht="12.75">
      <c r="B240" s="12" t="s">
        <v>800</v>
      </c>
      <c r="C240" s="1">
        <f>E240*(VLOOKUP(D240,Race,2,FALSE)*(N240*init_bonus+O240+P240*front+Q240*Back+R240+S240*armour+SUM(T240:V240))*(Thrust_base+(I240/J240)/Thrust_div)*POWER(W240,Weapon_power))/(POWER(signature,(L240-M240)))*IF(K240="Y",gravitic,1)*IF(H240="Y",agile,1)/divisor</f>
        <v>108.5547313876103</v>
      </c>
      <c r="D240" s="1" t="s">
        <v>571</v>
      </c>
      <c r="E240" s="5">
        <v>1</v>
      </c>
      <c r="F240" s="5">
        <v>6</v>
      </c>
      <c r="G240" s="7">
        <v>0</v>
      </c>
      <c r="H240" s="5" t="s">
        <v>21</v>
      </c>
      <c r="I240" s="5">
        <v>9</v>
      </c>
      <c r="J240" s="5">
        <v>4</v>
      </c>
      <c r="K240" s="5" t="s">
        <v>2</v>
      </c>
      <c r="L240" s="5">
        <v>9</v>
      </c>
      <c r="M240" s="5">
        <v>9</v>
      </c>
      <c r="N240" s="5">
        <v>2</v>
      </c>
      <c r="O240" s="5">
        <v>44</v>
      </c>
      <c r="P240" s="5">
        <v>90</v>
      </c>
      <c r="Q240" s="5">
        <v>90</v>
      </c>
      <c r="R240" s="5">
        <v>0</v>
      </c>
      <c r="S240" s="5">
        <v>4</v>
      </c>
      <c r="T240" s="5"/>
      <c r="U240" s="5"/>
      <c r="V240" s="5"/>
      <c r="W240" s="1">
        <f>SUM(X240:BD240)*(num_weapons_base+num_weapons_mod*COUNT(X240:BD240))</f>
        <v>72.7107219161677</v>
      </c>
      <c r="X240" s="60">
        <f aca="true" t="shared" si="79" ref="X240:AL240">VLOOKUP(X239,weapon,2,FALSE)</f>
        <v>46.60943712574852</v>
      </c>
      <c r="Y240" s="60">
        <f t="shared" si="79"/>
        <v>0</v>
      </c>
      <c r="Z240" s="60">
        <f t="shared" si="79"/>
        <v>0</v>
      </c>
      <c r="AA240" s="60">
        <f t="shared" si="79"/>
        <v>0</v>
      </c>
      <c r="AB240" s="60">
        <f t="shared" si="79"/>
        <v>0</v>
      </c>
      <c r="AC240" s="60">
        <f t="shared" si="79"/>
        <v>0</v>
      </c>
      <c r="AD240" s="60">
        <f t="shared" si="79"/>
        <v>0</v>
      </c>
      <c r="AE240" s="60">
        <f t="shared" si="79"/>
        <v>0</v>
      </c>
      <c r="AF240" s="60">
        <f t="shared" si="79"/>
        <v>0</v>
      </c>
      <c r="AG240" s="60">
        <f t="shared" si="79"/>
        <v>0</v>
      </c>
      <c r="AH240" s="60">
        <f t="shared" si="79"/>
        <v>0</v>
      </c>
      <c r="AI240" s="60">
        <f t="shared" si="79"/>
        <v>0</v>
      </c>
      <c r="AJ240" s="60">
        <f t="shared" si="79"/>
        <v>0</v>
      </c>
      <c r="AK240" s="60">
        <f t="shared" si="79"/>
        <v>0</v>
      </c>
      <c r="AL240" s="60">
        <f t="shared" si="79"/>
        <v>0</v>
      </c>
      <c r="AM240" s="43"/>
      <c r="AN240" s="44"/>
      <c r="AO240" s="43"/>
      <c r="AP240" s="43"/>
      <c r="AQ240" s="43"/>
      <c r="AR240" s="43"/>
      <c r="AS240" s="43"/>
      <c r="AT240" s="43"/>
      <c r="AU240" s="43"/>
      <c r="AV240" s="43"/>
      <c r="AW240" s="43"/>
      <c r="AX240" s="43"/>
      <c r="AY240" s="43"/>
      <c r="AZ240" s="43"/>
      <c r="BA240" s="43"/>
      <c r="BB240" s="43"/>
      <c r="BC240" s="43"/>
      <c r="BD240" s="43"/>
      <c r="BE240" s="43"/>
      <c r="BF240" s="43"/>
      <c r="BG240" s="43"/>
    </row>
    <row r="241" spans="3:59" ht="12.75">
      <c r="C241" s="42"/>
      <c r="D241" s="42"/>
      <c r="E241" s="5"/>
      <c r="F241" s="5"/>
      <c r="G241" s="7"/>
      <c r="H241" s="5"/>
      <c r="I241" s="5"/>
      <c r="J241" s="5"/>
      <c r="K241" s="5"/>
      <c r="L241" s="5"/>
      <c r="M241" s="5"/>
      <c r="N241" s="5"/>
      <c r="O241" s="5"/>
      <c r="P241" s="5"/>
      <c r="Q241" s="5"/>
      <c r="R241" s="5"/>
      <c r="S241" s="5"/>
      <c r="T241" s="5"/>
      <c r="U241" s="5"/>
      <c r="V241" s="5"/>
      <c r="W241" s="1"/>
      <c r="X241" s="43" t="s">
        <v>179</v>
      </c>
      <c r="Y241" s="43" t="s">
        <v>179</v>
      </c>
      <c r="Z241" s="43" t="s">
        <v>174</v>
      </c>
      <c r="AA241" s="43" t="s">
        <v>174</v>
      </c>
      <c r="AB241" s="43" t="s">
        <v>167</v>
      </c>
      <c r="AC241" s="43" t="s">
        <v>167</v>
      </c>
      <c r="AD241" s="43" t="s">
        <v>167</v>
      </c>
      <c r="AE241" s="43" t="s">
        <v>167</v>
      </c>
      <c r="AF241" s="43" t="s">
        <v>167</v>
      </c>
      <c r="AG241" s="43" t="s">
        <v>167</v>
      </c>
      <c r="AH241" s="43" t="s">
        <v>167</v>
      </c>
      <c r="AI241" s="43" t="s">
        <v>167</v>
      </c>
      <c r="AJ241" s="43" t="s">
        <v>167</v>
      </c>
      <c r="AK241" s="43" t="s">
        <v>167</v>
      </c>
      <c r="AL241" s="43" t="s">
        <v>167</v>
      </c>
      <c r="AM241" s="43" t="s">
        <v>167</v>
      </c>
      <c r="AO241" s="43"/>
      <c r="AP241" s="43"/>
      <c r="AQ241" s="43"/>
      <c r="AR241" s="43"/>
      <c r="AS241" s="43"/>
      <c r="AT241" s="43"/>
      <c r="AU241" s="43"/>
      <c r="AV241" s="43"/>
      <c r="AW241" s="43"/>
      <c r="AX241" s="43"/>
      <c r="AY241" s="43"/>
      <c r="AZ241" s="43"/>
      <c r="BA241" s="43"/>
      <c r="BB241" s="43"/>
      <c r="BC241" s="43"/>
      <c r="BD241" s="43"/>
      <c r="BE241" s="43"/>
      <c r="BF241" s="43"/>
      <c r="BG241" s="43"/>
    </row>
    <row r="242" spans="2:59" ht="12.75">
      <c r="B242" s="12" t="s">
        <v>575</v>
      </c>
      <c r="C242" s="1">
        <f>E242*(VLOOKUP(D242,Race,2,FALSE)*(N242*init_bonus+O242+P242*front+Q242*Back+R242+S242*armour+SUM(T242:V242))*(Thrust_base+(I242/J242)/Thrust_div)*POWER(W242,Weapon_power))/(POWER(signature,(L242-M242)))*IF(K242="Y",gravitic,1)*IF(H242="Y",agile,1)/divisor</f>
        <v>1149.2737425245753</v>
      </c>
      <c r="D242" s="1" t="s">
        <v>571</v>
      </c>
      <c r="E242" s="5">
        <v>1</v>
      </c>
      <c r="F242" s="5">
        <v>0</v>
      </c>
      <c r="G242" s="7">
        <v>0</v>
      </c>
      <c r="H242" s="5" t="s">
        <v>21</v>
      </c>
      <c r="I242" s="5">
        <v>10</v>
      </c>
      <c r="J242" s="5">
        <v>5</v>
      </c>
      <c r="K242" s="5" t="s">
        <v>2</v>
      </c>
      <c r="L242" s="5">
        <v>15</v>
      </c>
      <c r="M242" s="5">
        <v>10</v>
      </c>
      <c r="N242" s="5">
        <v>0</v>
      </c>
      <c r="O242" s="5">
        <v>60</v>
      </c>
      <c r="P242" s="5">
        <v>105</v>
      </c>
      <c r="Q242" s="5">
        <v>105</v>
      </c>
      <c r="R242" s="5">
        <v>0</v>
      </c>
      <c r="S242" s="5">
        <v>5</v>
      </c>
      <c r="T242" s="5"/>
      <c r="U242" s="5"/>
      <c r="V242" s="5"/>
      <c r="W242" s="1">
        <f>SUM(X242:BD242)*(num_weapons_base+num_weapons_mod*COUNT(X242:BD242))</f>
        <v>819.8119473053893</v>
      </c>
      <c r="X242" s="60">
        <f aca="true" t="shared" si="80" ref="X242:AC242">VLOOKUP(X237,weapon,2,FALSE)</f>
        <v>41.10179640718564</v>
      </c>
      <c r="Y242" s="60">
        <f t="shared" si="80"/>
        <v>41.10179640718564</v>
      </c>
      <c r="Z242" s="60">
        <f t="shared" si="80"/>
        <v>46.60943712574852</v>
      </c>
      <c r="AA242" s="60">
        <f t="shared" si="80"/>
        <v>46.60943712574852</v>
      </c>
      <c r="AB242" s="60">
        <f t="shared" si="80"/>
        <v>28.080000000000002</v>
      </c>
      <c r="AC242" s="60">
        <f t="shared" si="80"/>
        <v>28.080000000000002</v>
      </c>
      <c r="AD242" s="60">
        <f aca="true" t="shared" si="81" ref="AD242:AM242">VLOOKUP(AD237,weapon,2,FALSE)</f>
        <v>28.080000000000002</v>
      </c>
      <c r="AE242" s="60">
        <f t="shared" si="81"/>
        <v>28.080000000000002</v>
      </c>
      <c r="AF242" s="60">
        <f t="shared" si="81"/>
        <v>28.080000000000002</v>
      </c>
      <c r="AG242" s="60">
        <f t="shared" si="81"/>
        <v>28.080000000000002</v>
      </c>
      <c r="AH242" s="60">
        <f t="shared" si="81"/>
        <v>28.080000000000002</v>
      </c>
      <c r="AI242" s="60">
        <f t="shared" si="81"/>
        <v>28.080000000000002</v>
      </c>
      <c r="AJ242" s="60">
        <f t="shared" si="81"/>
        <v>28.080000000000002</v>
      </c>
      <c r="AK242" s="60">
        <f t="shared" si="81"/>
        <v>28.080000000000002</v>
      </c>
      <c r="AL242" s="60">
        <f t="shared" si="81"/>
        <v>28.080000000000002</v>
      </c>
      <c r="AM242" s="60">
        <f t="shared" si="81"/>
        <v>28.080000000000002</v>
      </c>
      <c r="AN242" s="134" t="s">
        <v>306</v>
      </c>
      <c r="AO242" s="43"/>
      <c r="AP242" s="43"/>
      <c r="AQ242" s="43"/>
      <c r="AR242" s="43"/>
      <c r="AS242" s="43"/>
      <c r="AT242" s="43"/>
      <c r="AU242" s="43"/>
      <c r="AV242" s="43"/>
      <c r="AW242" s="43"/>
      <c r="AX242" s="43"/>
      <c r="AY242" s="43"/>
      <c r="AZ242" s="43"/>
      <c r="BA242" s="43"/>
      <c r="BB242" s="43"/>
      <c r="BC242" s="43"/>
      <c r="BD242" s="43"/>
      <c r="BE242" s="43"/>
      <c r="BF242" s="43"/>
      <c r="BG242" s="43"/>
    </row>
    <row r="243" spans="3:59" ht="12.75">
      <c r="C243" s="42"/>
      <c r="D243" s="42"/>
      <c r="E243" s="5"/>
      <c r="F243" s="5"/>
      <c r="G243" s="7"/>
      <c r="H243" s="5"/>
      <c r="I243" s="5"/>
      <c r="J243" s="5"/>
      <c r="K243" s="5"/>
      <c r="L243" s="5"/>
      <c r="M243" s="5"/>
      <c r="N243" s="5"/>
      <c r="O243" s="5"/>
      <c r="P243" s="5"/>
      <c r="Q243" s="5"/>
      <c r="R243" s="5"/>
      <c r="S243" s="5"/>
      <c r="T243" s="5"/>
      <c r="U243" s="5"/>
      <c r="V243" s="5"/>
      <c r="W243" s="1"/>
      <c r="X243" s="43" t="s">
        <v>174</v>
      </c>
      <c r="Y243" s="43" t="s">
        <v>174</v>
      </c>
      <c r="Z243" s="43" t="s">
        <v>174</v>
      </c>
      <c r="AA243" s="43" t="s">
        <v>167</v>
      </c>
      <c r="AB243" s="43" t="s">
        <v>167</v>
      </c>
      <c r="AC243" s="43" t="s">
        <v>167</v>
      </c>
      <c r="AD243" s="43" t="s">
        <v>167</v>
      </c>
      <c r="AE243" s="43" t="s">
        <v>167</v>
      </c>
      <c r="AF243" s="43" t="s">
        <v>167</v>
      </c>
      <c r="AG243" s="43"/>
      <c r="AH243" s="43"/>
      <c r="AI243" s="43"/>
      <c r="AJ243" s="43"/>
      <c r="AK243" s="43"/>
      <c r="AL243" s="43"/>
      <c r="AM243" s="43"/>
      <c r="AN243" s="44"/>
      <c r="AO243" s="43"/>
      <c r="AP243" s="43"/>
      <c r="AQ243" s="43"/>
      <c r="AR243" s="43"/>
      <c r="AS243" s="43"/>
      <c r="AT243" s="43"/>
      <c r="AU243" s="43"/>
      <c r="AV243" s="43"/>
      <c r="AW243" s="43"/>
      <c r="AX243" s="43"/>
      <c r="AY243" s="43"/>
      <c r="AZ243" s="43"/>
      <c r="BA243" s="43"/>
      <c r="BB243" s="43"/>
      <c r="BC243" s="43"/>
      <c r="BD243" s="43"/>
      <c r="BE243" s="43"/>
      <c r="BF243" s="43"/>
      <c r="BG243" s="43"/>
    </row>
    <row r="244" spans="2:59" ht="12.75">
      <c r="B244" s="12" t="s">
        <v>576</v>
      </c>
      <c r="C244" s="1">
        <f>E244*(VLOOKUP(D244,Race,2,FALSE)*(N244*init_bonus+O244+P244*front+Q244*Back+R244+S244*armour+SUM(T244:V244))*(Thrust_base+(I244/J244)/Thrust_div)*POWER(W244,Weapon_power))/(POWER(signature,(L244-M244)))*IF(K244="Y",gravitic,1)*IF(H244="Y",agile,1)/divisor</f>
        <v>460.758943446269</v>
      </c>
      <c r="D244" s="1" t="s">
        <v>571</v>
      </c>
      <c r="E244" s="5">
        <v>1</v>
      </c>
      <c r="F244" s="5">
        <v>0</v>
      </c>
      <c r="G244" s="7">
        <v>0</v>
      </c>
      <c r="H244" s="5" t="s">
        <v>21</v>
      </c>
      <c r="I244" s="5">
        <v>8</v>
      </c>
      <c r="J244" s="5">
        <v>3</v>
      </c>
      <c r="K244" s="5" t="s">
        <v>2</v>
      </c>
      <c r="L244" s="5">
        <v>11</v>
      </c>
      <c r="M244" s="5">
        <v>8</v>
      </c>
      <c r="N244" s="5">
        <v>0</v>
      </c>
      <c r="O244" s="5">
        <v>40</v>
      </c>
      <c r="P244" s="5">
        <v>72</v>
      </c>
      <c r="Q244" s="5">
        <v>72</v>
      </c>
      <c r="R244" s="5">
        <v>0</v>
      </c>
      <c r="S244" s="5">
        <v>4</v>
      </c>
      <c r="T244" s="5"/>
      <c r="U244" s="5"/>
      <c r="V244" s="5"/>
      <c r="W244" s="1">
        <f>SUM(X244:BD244)*(num_weapons_base+num_weapons_mod*COUNT(X244:BD244))</f>
        <v>406.96697101796417</v>
      </c>
      <c r="X244" s="60">
        <f aca="true" t="shared" si="82" ref="X244:AD244">VLOOKUP(X243,weapon,2,FALSE)</f>
        <v>46.60943712574852</v>
      </c>
      <c r="Y244" s="60">
        <f t="shared" si="82"/>
        <v>46.60943712574852</v>
      </c>
      <c r="Z244" s="60">
        <f t="shared" si="82"/>
        <v>46.60943712574852</v>
      </c>
      <c r="AA244" s="60">
        <f t="shared" si="82"/>
        <v>28.080000000000002</v>
      </c>
      <c r="AB244" s="60">
        <f t="shared" si="82"/>
        <v>28.080000000000002</v>
      </c>
      <c r="AC244" s="60">
        <f t="shared" si="82"/>
        <v>28.080000000000002</v>
      </c>
      <c r="AD244" s="60">
        <f t="shared" si="82"/>
        <v>28.080000000000002</v>
      </c>
      <c r="AE244" s="60">
        <f>VLOOKUP(AE243,weapon,2,FALSE)</f>
        <v>28.080000000000002</v>
      </c>
      <c r="AF244" s="60">
        <f>VLOOKUP(AF243,weapon,2,FALSE)</f>
        <v>28.080000000000002</v>
      </c>
      <c r="AG244" s="43"/>
      <c r="AH244" s="43"/>
      <c r="AI244" s="43"/>
      <c r="AJ244" s="43"/>
      <c r="AK244" s="43"/>
      <c r="AL244" s="43"/>
      <c r="AM244" s="43"/>
      <c r="AN244" s="44"/>
      <c r="AO244" s="43"/>
      <c r="AP244" s="43"/>
      <c r="AQ244" s="43"/>
      <c r="AR244" s="43"/>
      <c r="AS244" s="43"/>
      <c r="AT244" s="43"/>
      <c r="AU244" s="43"/>
      <c r="AV244" s="43"/>
      <c r="AW244" s="43"/>
      <c r="AX244" s="43"/>
      <c r="AY244" s="43"/>
      <c r="AZ244" s="43"/>
      <c r="BA244" s="43"/>
      <c r="BB244" s="43"/>
      <c r="BC244" s="43"/>
      <c r="BD244" s="43"/>
      <c r="BE244" s="43"/>
      <c r="BF244" s="43"/>
      <c r="BG244" s="43"/>
    </row>
    <row r="245" spans="2:59" ht="12.75">
      <c r="B245" s="12"/>
      <c r="C245" s="42"/>
      <c r="D245" s="42"/>
      <c r="E245" s="5"/>
      <c r="F245" s="5"/>
      <c r="G245" s="7"/>
      <c r="H245" s="5"/>
      <c r="I245" s="5"/>
      <c r="J245" s="5"/>
      <c r="K245" s="5"/>
      <c r="L245" s="5"/>
      <c r="M245" s="5"/>
      <c r="N245" s="5"/>
      <c r="O245" s="5"/>
      <c r="P245" s="5"/>
      <c r="Q245" s="5"/>
      <c r="R245" s="5"/>
      <c r="S245" s="5"/>
      <c r="T245" s="5"/>
      <c r="U245" s="5"/>
      <c r="V245" s="5"/>
      <c r="W245" s="1"/>
      <c r="X245" s="43" t="s">
        <v>167</v>
      </c>
      <c r="Y245" s="43" t="s">
        <v>167</v>
      </c>
      <c r="Z245" s="43" t="s">
        <v>167</v>
      </c>
      <c r="AA245" s="43" t="s">
        <v>167</v>
      </c>
      <c r="AB245" s="43"/>
      <c r="AC245" s="43"/>
      <c r="AD245" s="43"/>
      <c r="AE245" s="43"/>
      <c r="AF245" s="43"/>
      <c r="AG245" s="43"/>
      <c r="AH245" s="43"/>
      <c r="AI245" s="43"/>
      <c r="AJ245" s="43"/>
      <c r="AK245" s="43"/>
      <c r="AL245" s="43"/>
      <c r="AM245" s="43"/>
      <c r="AN245" s="44"/>
      <c r="AO245" s="43"/>
      <c r="AP245" s="43"/>
      <c r="AQ245" s="43"/>
      <c r="AR245" s="43"/>
      <c r="AS245" s="43"/>
      <c r="AT245" s="43"/>
      <c r="AU245" s="43"/>
      <c r="AV245" s="43"/>
      <c r="AW245" s="43"/>
      <c r="AX245" s="43"/>
      <c r="AY245" s="43"/>
      <c r="AZ245" s="43"/>
      <c r="BA245" s="43"/>
      <c r="BB245" s="43"/>
      <c r="BC245" s="43"/>
      <c r="BD245" s="43"/>
      <c r="BE245" s="43"/>
      <c r="BF245" s="43"/>
      <c r="BG245" s="43"/>
    </row>
    <row r="246" spans="2:59" ht="12.75">
      <c r="B246" s="12" t="s">
        <v>577</v>
      </c>
      <c r="C246" s="1">
        <f>E246*(VLOOKUP(D246,Race,2,FALSE)*(N246*init_bonus+O246+P246*front+Q246*Back+R246+S246*armour+SUM(T246:V246))*(Thrust_base+(I246/J246)/Thrust_div)*POWER(W246,Weapon_power))/(POWER(signature,(L246-M246)))*IF(K246="Y",gravitic,1)*IF(H246="Y",agile,1)/divisor</f>
        <v>184.1136205396579</v>
      </c>
      <c r="D246" s="1" t="s">
        <v>571</v>
      </c>
      <c r="E246" s="5">
        <v>1</v>
      </c>
      <c r="F246" s="5">
        <v>12</v>
      </c>
      <c r="G246" s="7">
        <f>2*C252</f>
        <v>260.6866909639752</v>
      </c>
      <c r="H246" s="5" t="s">
        <v>21</v>
      </c>
      <c r="I246" s="5">
        <v>7</v>
      </c>
      <c r="J246" s="5">
        <v>3</v>
      </c>
      <c r="K246" s="5" t="s">
        <v>2</v>
      </c>
      <c r="L246" s="5">
        <v>9</v>
      </c>
      <c r="M246" s="5">
        <v>11</v>
      </c>
      <c r="N246" s="5">
        <v>0</v>
      </c>
      <c r="O246" s="5">
        <v>36</v>
      </c>
      <c r="P246" s="5">
        <v>75</v>
      </c>
      <c r="Q246" s="5">
        <v>75</v>
      </c>
      <c r="R246" s="5">
        <v>0</v>
      </c>
      <c r="S246" s="5">
        <v>4</v>
      </c>
      <c r="T246" s="5"/>
      <c r="U246" s="5"/>
      <c r="V246" s="5"/>
      <c r="W246" s="1">
        <f>SUM(X246:BD246)*(num_weapons_base+num_weapons_mod*COUNT(X246:BD246))</f>
        <v>125.7984</v>
      </c>
      <c r="X246" s="60">
        <f>VLOOKUP(X245,weapon,2,FALSE)</f>
        <v>28.080000000000002</v>
      </c>
      <c r="Y246" s="60">
        <f>VLOOKUP(Y245,weapon,2,FALSE)</f>
        <v>28.080000000000002</v>
      </c>
      <c r="Z246" s="60">
        <f>VLOOKUP(Z245,weapon,2,FALSE)</f>
        <v>28.080000000000002</v>
      </c>
      <c r="AA246" s="60">
        <f>VLOOKUP(AA245,weapon,2,FALSE)</f>
        <v>28.080000000000002</v>
      </c>
      <c r="AB246" s="43"/>
      <c r="AC246" s="43"/>
      <c r="AD246" s="43"/>
      <c r="AE246" s="43"/>
      <c r="AF246" s="43"/>
      <c r="AG246" s="43"/>
      <c r="AH246" s="43"/>
      <c r="AI246" s="43"/>
      <c r="AJ246" s="43"/>
      <c r="AK246" s="43"/>
      <c r="AL246" s="43"/>
      <c r="AM246" s="43"/>
      <c r="AN246" s="44"/>
      <c r="AO246" s="43"/>
      <c r="AP246" s="43"/>
      <c r="AQ246" s="43"/>
      <c r="AR246" s="43"/>
      <c r="AS246" s="43"/>
      <c r="AT246" s="43"/>
      <c r="AU246" s="43"/>
      <c r="AV246" s="43"/>
      <c r="AW246" s="43"/>
      <c r="AX246" s="43"/>
      <c r="AY246" s="43"/>
      <c r="AZ246" s="43"/>
      <c r="BA246" s="43"/>
      <c r="BB246" s="43"/>
      <c r="BC246" s="43"/>
      <c r="BD246" s="43"/>
      <c r="BE246" s="43"/>
      <c r="BF246" s="43"/>
      <c r="BG246" s="43"/>
    </row>
    <row r="247" spans="2:59" ht="12.75">
      <c r="B247" s="12"/>
      <c r="C247" s="42"/>
      <c r="D247" s="42"/>
      <c r="E247" s="5"/>
      <c r="F247" s="5"/>
      <c r="G247" s="7"/>
      <c r="H247" s="5"/>
      <c r="I247" s="5"/>
      <c r="J247" s="5"/>
      <c r="K247" s="5"/>
      <c r="L247" s="5"/>
      <c r="M247" s="5"/>
      <c r="N247" s="5"/>
      <c r="O247" s="5"/>
      <c r="P247" s="5"/>
      <c r="Q247" s="5"/>
      <c r="R247" s="5"/>
      <c r="S247" s="5"/>
      <c r="T247" s="5"/>
      <c r="U247" s="5"/>
      <c r="V247" s="5"/>
      <c r="W247" s="1"/>
      <c r="X247" s="43" t="s">
        <v>182</v>
      </c>
      <c r="Y247" s="43" t="s">
        <v>182</v>
      </c>
      <c r="Z247" s="43" t="s">
        <v>182</v>
      </c>
      <c r="AA247" s="43" t="s">
        <v>167</v>
      </c>
      <c r="AB247" s="43" t="s">
        <v>167</v>
      </c>
      <c r="AC247" s="43" t="s">
        <v>167</v>
      </c>
      <c r="AD247" s="43" t="s">
        <v>167</v>
      </c>
      <c r="AE247" s="43" t="s">
        <v>167</v>
      </c>
      <c r="AF247" s="43" t="s">
        <v>167</v>
      </c>
      <c r="AG247" s="43"/>
      <c r="AH247" s="43"/>
      <c r="AI247" s="43"/>
      <c r="AJ247" s="43"/>
      <c r="AK247" s="43"/>
      <c r="AL247" s="43"/>
      <c r="AM247" s="43"/>
      <c r="AN247" s="44"/>
      <c r="AO247" s="43"/>
      <c r="AP247" s="43"/>
      <c r="AQ247" s="43"/>
      <c r="AR247" s="43"/>
      <c r="AS247" s="43"/>
      <c r="AT247" s="43"/>
      <c r="AU247" s="43"/>
      <c r="AV247" s="43"/>
      <c r="AW247" s="43"/>
      <c r="AX247" s="43"/>
      <c r="AY247" s="43"/>
      <c r="AZ247" s="43"/>
      <c r="BA247" s="43"/>
      <c r="BB247" s="43"/>
      <c r="BC247" s="43"/>
      <c r="BD247" s="43"/>
      <c r="BE247" s="43"/>
      <c r="BF247" s="43"/>
      <c r="BG247" s="43"/>
    </row>
    <row r="248" spans="2:59" ht="12.75">
      <c r="B248" s="12" t="s">
        <v>578</v>
      </c>
      <c r="C248" s="1">
        <f>E248*(VLOOKUP(D248,Race,2,FALSE)*(N248*init_bonus+O248+P248*front+Q248*Back+R248+S248*armour+SUM(T248:V248))*(Thrust_base+(I248/J248)/Thrust_div)*POWER(W248,Weapon_power))/(POWER(signature,(L248-M248)))*IF(K248="Y",gravitic,1)*IF(H248="Y",agile,1)/divisor</f>
        <v>432.75064224531144</v>
      </c>
      <c r="D248" s="1" t="s">
        <v>571</v>
      </c>
      <c r="E248" s="5">
        <v>1</v>
      </c>
      <c r="F248" s="5">
        <v>0</v>
      </c>
      <c r="G248" s="7">
        <v>0</v>
      </c>
      <c r="H248" s="5" t="s">
        <v>21</v>
      </c>
      <c r="I248" s="5">
        <v>8</v>
      </c>
      <c r="J248" s="5">
        <v>3</v>
      </c>
      <c r="K248" s="5" t="s">
        <v>2</v>
      </c>
      <c r="L248" s="5">
        <v>11</v>
      </c>
      <c r="M248" s="5">
        <v>9</v>
      </c>
      <c r="N248" s="5">
        <v>0</v>
      </c>
      <c r="O248" s="5">
        <v>40</v>
      </c>
      <c r="P248" s="5">
        <v>72</v>
      </c>
      <c r="Q248" s="5">
        <v>72</v>
      </c>
      <c r="R248" s="5">
        <v>0</v>
      </c>
      <c r="S248" s="5">
        <v>4</v>
      </c>
      <c r="T248" s="5"/>
      <c r="U248" s="5"/>
      <c r="V248" s="5"/>
      <c r="W248" s="1">
        <f>SUM(X248:BD248)*(num_weapons_base+num_weapons_mod*COUNT(X248:BD248))</f>
        <v>359.4475401197605</v>
      </c>
      <c r="X248" s="60">
        <f aca="true" t="shared" si="83" ref="X248:AC248">VLOOKUP(X247,weapon,2,FALSE)</f>
        <v>34.60958083832335</v>
      </c>
      <c r="Y248" s="60">
        <f t="shared" si="83"/>
        <v>34.60958083832335</v>
      </c>
      <c r="Z248" s="60">
        <f t="shared" si="83"/>
        <v>34.60958083832335</v>
      </c>
      <c r="AA248" s="60">
        <f t="shared" si="83"/>
        <v>28.080000000000002</v>
      </c>
      <c r="AB248" s="60">
        <f t="shared" si="83"/>
        <v>28.080000000000002</v>
      </c>
      <c r="AC248" s="60">
        <f t="shared" si="83"/>
        <v>28.080000000000002</v>
      </c>
      <c r="AD248" s="60">
        <f>VLOOKUP(AD247,weapon,2,FALSE)</f>
        <v>28.080000000000002</v>
      </c>
      <c r="AE248" s="60">
        <f>VLOOKUP(AE247,weapon,2,FALSE)</f>
        <v>28.080000000000002</v>
      </c>
      <c r="AF248" s="60">
        <f>VLOOKUP(AF247,weapon,2,FALSE)</f>
        <v>28.080000000000002</v>
      </c>
      <c r="AG248" s="43"/>
      <c r="AH248" s="43"/>
      <c r="AI248" s="43"/>
      <c r="AJ248" s="43"/>
      <c r="AK248" s="43"/>
      <c r="AL248" s="43"/>
      <c r="AM248" s="43"/>
      <c r="AN248" s="44"/>
      <c r="AO248" s="43"/>
      <c r="AP248" s="43"/>
      <c r="AQ248" s="43"/>
      <c r="AR248" s="43"/>
      <c r="AS248" s="43"/>
      <c r="AT248" s="43"/>
      <c r="AU248" s="43"/>
      <c r="AV248" s="43"/>
      <c r="AW248" s="43"/>
      <c r="AX248" s="43"/>
      <c r="AY248" s="43"/>
      <c r="AZ248" s="43"/>
      <c r="BA248" s="43"/>
      <c r="BB248" s="43"/>
      <c r="BC248" s="43"/>
      <c r="BD248" s="43"/>
      <c r="BE248" s="43"/>
      <c r="BF248" s="43"/>
      <c r="BG248" s="43"/>
    </row>
    <row r="249" spans="2:59" ht="12.75">
      <c r="B249" s="15"/>
      <c r="C249" s="42"/>
      <c r="D249" s="42"/>
      <c r="E249" s="5"/>
      <c r="F249" s="5"/>
      <c r="G249" s="7"/>
      <c r="H249" s="5"/>
      <c r="I249" s="5"/>
      <c r="J249" s="5"/>
      <c r="K249" s="5"/>
      <c r="L249" s="5"/>
      <c r="M249" s="5"/>
      <c r="N249" s="5"/>
      <c r="O249" s="5"/>
      <c r="P249" s="5"/>
      <c r="Q249" s="5"/>
      <c r="R249" s="5"/>
      <c r="S249" s="5"/>
      <c r="T249" s="5"/>
      <c r="U249" s="5"/>
      <c r="V249" s="5"/>
      <c r="W249" s="1"/>
      <c r="X249" s="43" t="s">
        <v>164</v>
      </c>
      <c r="Y249" s="43" t="s">
        <v>164</v>
      </c>
      <c r="Z249" s="43" t="s">
        <v>164</v>
      </c>
      <c r="AA249" s="43" t="s">
        <v>164</v>
      </c>
      <c r="AB249" s="43"/>
      <c r="AC249" s="43"/>
      <c r="AD249" s="43"/>
      <c r="AE249" s="43"/>
      <c r="AF249" s="43"/>
      <c r="AG249" s="43"/>
      <c r="AH249" s="43"/>
      <c r="AI249" s="43"/>
      <c r="AJ249" s="43"/>
      <c r="AK249" s="43"/>
      <c r="AL249" s="43"/>
      <c r="AM249" s="43"/>
      <c r="AN249" s="44"/>
      <c r="AO249" s="43"/>
      <c r="AP249" s="43"/>
      <c r="AQ249" s="43"/>
      <c r="AR249" s="43"/>
      <c r="AS249" s="43"/>
      <c r="AT249" s="43"/>
      <c r="AU249" s="43"/>
      <c r="AV249" s="43"/>
      <c r="AW249" s="43"/>
      <c r="AX249" s="43"/>
      <c r="AY249" s="43"/>
      <c r="AZ249" s="43"/>
      <c r="BA249" s="43"/>
      <c r="BB249" s="43"/>
      <c r="BC249" s="43"/>
      <c r="BD249" s="43"/>
      <c r="BE249" s="43"/>
      <c r="BF249" s="43"/>
      <c r="BG249" s="43"/>
    </row>
    <row r="250" spans="2:59" ht="12.75">
      <c r="B250" s="12" t="s">
        <v>1011</v>
      </c>
      <c r="C250" s="1">
        <f>E250*(VLOOKUP(D250,Race,2,FALSE)*(N250*init_bonus+O250+P250*front+Q250*Back+R250+S250*armour+SUM(T250:V250))*(Thrust_base+(I250/J250)/Thrust_div)*POWER(W250,Weapon_power))/(POWER(signature,(L250-M250)))*IF(K250="Y",gravitic,1)*IF(H250="Y",agile,1)/divisor</f>
        <v>0</v>
      </c>
      <c r="D250" s="1" t="s">
        <v>571</v>
      </c>
      <c r="E250" s="5">
        <v>1</v>
      </c>
      <c r="F250" s="5">
        <v>0</v>
      </c>
      <c r="G250" s="7">
        <v>0</v>
      </c>
      <c r="H250" s="5" t="s">
        <v>21</v>
      </c>
      <c r="I250" s="5">
        <v>6</v>
      </c>
      <c r="J250" s="5">
        <v>2</v>
      </c>
      <c r="K250" s="5" t="s">
        <v>2</v>
      </c>
      <c r="L250" s="5">
        <v>4</v>
      </c>
      <c r="M250" s="5">
        <v>5</v>
      </c>
      <c r="N250" s="5">
        <v>14</v>
      </c>
      <c r="O250" s="5">
        <v>40</v>
      </c>
      <c r="P250" s="5">
        <v>0</v>
      </c>
      <c r="Q250" s="5">
        <v>0</v>
      </c>
      <c r="R250" s="5">
        <v>0</v>
      </c>
      <c r="S250" s="5">
        <v>1</v>
      </c>
      <c r="T250" s="5"/>
      <c r="U250" s="5"/>
      <c r="V250" s="5"/>
      <c r="W250" s="1">
        <f>SUM(X250:BD250)*(num_weapons_base+num_weapons_mod*COUNT(X250:BD250))</f>
        <v>0</v>
      </c>
      <c r="X250" s="60">
        <f>VLOOKUP(X249,weapon,2,FALSE)</f>
        <v>0</v>
      </c>
      <c r="Y250" s="60">
        <f>VLOOKUP(Y249,weapon,2,FALSE)</f>
        <v>0</v>
      </c>
      <c r="Z250" s="60">
        <f>VLOOKUP(Z249,weapon,2,FALSE)</f>
        <v>0</v>
      </c>
      <c r="AA250" s="60">
        <f>VLOOKUP(AA249,weapon,2,FALSE)</f>
        <v>0</v>
      </c>
      <c r="AB250" s="60"/>
      <c r="AC250" s="60"/>
      <c r="AD250" s="43"/>
      <c r="AE250" s="43"/>
      <c r="AF250" s="43"/>
      <c r="AG250" s="43"/>
      <c r="AH250" s="43"/>
      <c r="AI250" s="43"/>
      <c r="AJ250" s="43"/>
      <c r="AK250" s="43"/>
      <c r="AL250" s="43"/>
      <c r="AM250" s="43"/>
      <c r="AN250" s="44"/>
      <c r="AO250" s="43"/>
      <c r="AP250" s="43"/>
      <c r="AQ250" s="43"/>
      <c r="AR250" s="43"/>
      <c r="AS250" s="43"/>
      <c r="AT250" s="43"/>
      <c r="AU250" s="43"/>
      <c r="AV250" s="43"/>
      <c r="AW250" s="43"/>
      <c r="AX250" s="43"/>
      <c r="AY250" s="43"/>
      <c r="AZ250" s="43"/>
      <c r="BA250" s="43"/>
      <c r="BB250" s="43"/>
      <c r="BC250" s="43"/>
      <c r="BD250" s="43"/>
      <c r="BE250" s="43"/>
      <c r="BF250" s="43"/>
      <c r="BG250" s="43"/>
    </row>
    <row r="251" spans="2:59" ht="12.75">
      <c r="B251" s="12"/>
      <c r="C251" s="42"/>
      <c r="D251" s="42"/>
      <c r="E251" s="5"/>
      <c r="F251" s="5"/>
      <c r="G251" s="7"/>
      <c r="H251" s="5"/>
      <c r="I251" s="5"/>
      <c r="J251" s="5"/>
      <c r="K251" s="5"/>
      <c r="L251" s="5"/>
      <c r="M251" s="5"/>
      <c r="N251" s="5"/>
      <c r="O251" s="5"/>
      <c r="P251" s="5"/>
      <c r="Q251" s="5"/>
      <c r="R251" s="5"/>
      <c r="S251" s="5"/>
      <c r="T251" s="5"/>
      <c r="U251" s="5"/>
      <c r="V251" s="5"/>
      <c r="W251" s="1"/>
      <c r="X251" s="43" t="s">
        <v>77</v>
      </c>
      <c r="Y251" s="43" t="s">
        <v>60</v>
      </c>
      <c r="Z251" s="43"/>
      <c r="AA251" s="43"/>
      <c r="AB251" s="43"/>
      <c r="AC251" s="43"/>
      <c r="AD251" s="43"/>
      <c r="AE251" s="43"/>
      <c r="AF251" s="43"/>
      <c r="AG251" s="43"/>
      <c r="AH251" s="43"/>
      <c r="AI251" s="43"/>
      <c r="AJ251" s="43"/>
      <c r="AK251" s="43"/>
      <c r="AL251" s="43"/>
      <c r="AM251" s="43"/>
      <c r="AN251" s="44"/>
      <c r="AO251" s="43"/>
      <c r="AP251" s="43"/>
      <c r="AQ251" s="43"/>
      <c r="AR251" s="43"/>
      <c r="AS251" s="43"/>
      <c r="AT251" s="43"/>
      <c r="AU251" s="43"/>
      <c r="AV251" s="43"/>
      <c r="AW251" s="43"/>
      <c r="AX251" s="43"/>
      <c r="AY251" s="43"/>
      <c r="AZ251" s="43"/>
      <c r="BA251" s="43"/>
      <c r="BB251" s="43"/>
      <c r="BC251" s="43"/>
      <c r="BD251" s="43"/>
      <c r="BE251" s="43"/>
      <c r="BF251" s="43"/>
      <c r="BG251" s="43"/>
    </row>
    <row r="252" spans="2:59" ht="12.75">
      <c r="B252" t="s">
        <v>61</v>
      </c>
      <c r="C252" s="1">
        <f>E252*(VLOOKUP(D252,Race,2,FALSE)*(N252*init_bonus+O252+P252*front+Q252*Back+R252+S252*armour+SUM(T252:V252))*(Thrust_base+(I252/J252)/Thrust_div)*POWER(W252,Weapon_power))/(POWER(signature,(L252-M252)))*IF(K252="Y",gravitic,1)*IF(H252="Y",agile,1)/divisor</f>
        <v>130.3433454819876</v>
      </c>
      <c r="D252" s="1" t="s">
        <v>571</v>
      </c>
      <c r="E252" s="5">
        <v>6</v>
      </c>
      <c r="F252" s="5">
        <v>0</v>
      </c>
      <c r="G252" s="7">
        <v>0</v>
      </c>
      <c r="H252" s="5" t="s">
        <v>2</v>
      </c>
      <c r="I252" s="5">
        <v>8</v>
      </c>
      <c r="J252" s="5">
        <v>1</v>
      </c>
      <c r="K252" s="5" t="s">
        <v>2</v>
      </c>
      <c r="L252" s="5">
        <v>-2</v>
      </c>
      <c r="M252" s="5">
        <v>3</v>
      </c>
      <c r="N252" s="5">
        <v>16</v>
      </c>
      <c r="O252" s="5">
        <v>8</v>
      </c>
      <c r="P252" s="5">
        <v>0</v>
      </c>
      <c r="Q252" s="5">
        <v>0</v>
      </c>
      <c r="R252" s="5">
        <v>0</v>
      </c>
      <c r="S252" s="5">
        <v>1</v>
      </c>
      <c r="T252" s="5"/>
      <c r="U252" s="5"/>
      <c r="V252" s="5"/>
      <c r="W252" s="1">
        <f>SUM(X252:BD252)*(num_weapons_base+num_weapons_mod*COUNT(X252:BD252))</f>
        <v>17.973874285714288</v>
      </c>
      <c r="X252" s="60">
        <f>VLOOKUP(X251,weapon,2,FALSE)</f>
        <v>11.49107142857143</v>
      </c>
      <c r="Y252" s="60">
        <f>VLOOKUP(Y251,weapon,2,FALSE)</f>
        <v>5.791500000000001</v>
      </c>
      <c r="Z252" s="43"/>
      <c r="AA252" s="43"/>
      <c r="AB252" s="43"/>
      <c r="AC252" s="43"/>
      <c r="AD252" s="43"/>
      <c r="AE252" s="43"/>
      <c r="AF252" s="43"/>
      <c r="AG252" s="43"/>
      <c r="AH252" s="43"/>
      <c r="AI252" s="43"/>
      <c r="AJ252" s="43"/>
      <c r="AK252" s="43"/>
      <c r="AL252" s="43"/>
      <c r="AM252" s="43"/>
      <c r="AN252" s="44"/>
      <c r="AO252" s="43"/>
      <c r="AP252" s="43"/>
      <c r="AQ252" s="43"/>
      <c r="AR252" s="43"/>
      <c r="AS252" s="43"/>
      <c r="AT252" s="43"/>
      <c r="AU252" s="43"/>
      <c r="AV252" s="43"/>
      <c r="AW252" s="43"/>
      <c r="AX252" s="43"/>
      <c r="AY252" s="43"/>
      <c r="AZ252" s="43"/>
      <c r="BA252" s="43"/>
      <c r="BB252" s="43"/>
      <c r="BC252" s="43"/>
      <c r="BD252" s="43"/>
      <c r="BE252" s="43"/>
      <c r="BF252" s="43"/>
      <c r="BG252" s="43"/>
    </row>
    <row r="253" spans="3:59" ht="12.75">
      <c r="C253" s="42"/>
      <c r="D253" s="42"/>
      <c r="E253" s="5"/>
      <c r="F253" s="5"/>
      <c r="G253" s="7"/>
      <c r="H253" s="5"/>
      <c r="I253" s="5"/>
      <c r="J253" s="5"/>
      <c r="K253" s="5"/>
      <c r="L253" s="5"/>
      <c r="M253" s="5"/>
      <c r="N253" s="5"/>
      <c r="O253" s="5"/>
      <c r="P253" s="5"/>
      <c r="Q253" s="5"/>
      <c r="R253" s="5"/>
      <c r="S253" s="5"/>
      <c r="T253" s="5"/>
      <c r="U253" s="5"/>
      <c r="V253" s="5"/>
      <c r="W253" s="1"/>
      <c r="X253" s="43" t="s">
        <v>57</v>
      </c>
      <c r="Y253" s="43"/>
      <c r="Z253" s="43"/>
      <c r="AA253" s="43"/>
      <c r="AB253" s="43"/>
      <c r="AC253" s="43"/>
      <c r="AD253" s="43"/>
      <c r="AE253" s="43"/>
      <c r="AF253" s="43"/>
      <c r="AG253" s="43"/>
      <c r="AH253" s="43"/>
      <c r="AI253" s="43"/>
      <c r="AJ253" s="43"/>
      <c r="AK253" s="43"/>
      <c r="AL253" s="43"/>
      <c r="AM253" s="43"/>
      <c r="AN253" s="44"/>
      <c r="AO253" s="43"/>
      <c r="AP253" s="43"/>
      <c r="AQ253" s="43"/>
      <c r="AR253" s="43"/>
      <c r="AS253" s="43"/>
      <c r="AT253" s="43"/>
      <c r="AU253" s="43"/>
      <c r="AV253" s="43"/>
      <c r="AW253" s="43"/>
      <c r="AX253" s="43"/>
      <c r="AY253" s="43"/>
      <c r="AZ253" s="43"/>
      <c r="BA253" s="43"/>
      <c r="BB253" s="43"/>
      <c r="BC253" s="43"/>
      <c r="BD253" s="43"/>
      <c r="BE253" s="43"/>
      <c r="BF253" s="43"/>
      <c r="BG253" s="43"/>
    </row>
    <row r="254" spans="2:59" ht="12.75">
      <c r="B254" t="s">
        <v>57</v>
      </c>
      <c r="C254" s="1">
        <f>E254*(VLOOKUP(D254,Race,2,FALSE)*(N254*init_bonus+O254+P254*front+Q254*Back+R254+S254*armour+SUM(T254:V254))*(Thrust_base+(I254/J254)/Thrust_div)*POWER(W254,Weapon_power))/(POWER(signature,(L254-M254)))*IF(K254="Y",gravitic,1)*IF(H254="Y",agile,1)/divisor</f>
        <v>33.723807224351404</v>
      </c>
      <c r="D254" s="1" t="s">
        <v>571</v>
      </c>
      <c r="E254" s="5">
        <v>6</v>
      </c>
      <c r="F254" s="5">
        <v>0</v>
      </c>
      <c r="G254" s="7">
        <v>0</v>
      </c>
      <c r="H254" s="5" t="s">
        <v>2</v>
      </c>
      <c r="I254" s="5">
        <v>12</v>
      </c>
      <c r="J254" s="5">
        <v>1</v>
      </c>
      <c r="K254" s="5" t="s">
        <v>2</v>
      </c>
      <c r="L254" s="5">
        <v>-6</v>
      </c>
      <c r="M254" s="5">
        <v>3</v>
      </c>
      <c r="N254" s="5">
        <v>20</v>
      </c>
      <c r="O254" s="5">
        <v>4</v>
      </c>
      <c r="P254" s="5">
        <v>2</v>
      </c>
      <c r="Q254" s="5">
        <v>0</v>
      </c>
      <c r="R254" s="5">
        <v>0</v>
      </c>
      <c r="S254" s="5">
        <v>0</v>
      </c>
      <c r="T254" s="5"/>
      <c r="U254" s="5"/>
      <c r="V254" s="5"/>
      <c r="W254" s="1">
        <f>SUM(X254:BD254)*(num_weapons_base+num_weapons_mod*COUNT(X254:BD254))</f>
        <v>3.2175</v>
      </c>
      <c r="X254" s="60">
        <f>VLOOKUP(X253,weapon,2,FALSE)</f>
        <v>3.2175</v>
      </c>
      <c r="Y254" s="60"/>
      <c r="Z254" s="43"/>
      <c r="AA254" s="43"/>
      <c r="AB254" s="43"/>
      <c r="AC254" s="43"/>
      <c r="AD254" s="43"/>
      <c r="AE254" s="43"/>
      <c r="AF254" s="43"/>
      <c r="AG254" s="43"/>
      <c r="AH254" s="43"/>
      <c r="AI254" s="43"/>
      <c r="AJ254" s="43"/>
      <c r="AK254" s="43"/>
      <c r="AL254" s="43"/>
      <c r="AM254" s="43"/>
      <c r="AN254" s="44"/>
      <c r="AO254" s="43"/>
      <c r="AP254" s="43"/>
      <c r="AQ254" s="43"/>
      <c r="AR254" s="43"/>
      <c r="AS254" s="43"/>
      <c r="AT254" s="43"/>
      <c r="AU254" s="43"/>
      <c r="AV254" s="43"/>
      <c r="AW254" s="43"/>
      <c r="AX254" s="43"/>
      <c r="AY254" s="43"/>
      <c r="AZ254" s="43"/>
      <c r="BA254" s="43"/>
      <c r="BB254" s="43"/>
      <c r="BC254" s="43"/>
      <c r="BD254" s="43"/>
      <c r="BE254" s="43"/>
      <c r="BF254" s="43"/>
      <c r="BG254" s="43"/>
    </row>
    <row r="255" spans="1:59" s="191" customFormat="1" ht="12.75">
      <c r="A255" s="189" t="s">
        <v>579</v>
      </c>
      <c r="C255" s="42"/>
      <c r="D255" s="192"/>
      <c r="E255" s="198"/>
      <c r="F255" s="198"/>
      <c r="G255" s="125"/>
      <c r="H255" s="198"/>
      <c r="I255" s="198"/>
      <c r="J255" s="198"/>
      <c r="K255" s="198"/>
      <c r="L255" s="198"/>
      <c r="M255" s="198"/>
      <c r="N255" s="198"/>
      <c r="O255" s="198"/>
      <c r="P255" s="198"/>
      <c r="Q255" s="198"/>
      <c r="R255" s="198"/>
      <c r="S255" s="198"/>
      <c r="T255" s="198"/>
      <c r="U255" s="198"/>
      <c r="V255" s="198"/>
      <c r="W255" s="190"/>
      <c r="X255" s="196"/>
      <c r="Y255" s="196"/>
      <c r="Z255" s="196"/>
      <c r="AA255" s="196"/>
      <c r="AB255" s="196"/>
      <c r="AC255" s="196"/>
      <c r="AD255" s="196"/>
      <c r="AE255" s="196"/>
      <c r="AF255" s="196"/>
      <c r="AG255" s="196"/>
      <c r="AH255" s="196"/>
      <c r="AI255" s="196"/>
      <c r="AJ255" s="196"/>
      <c r="AK255" s="196"/>
      <c r="AL255" s="196"/>
      <c r="AM255" s="196"/>
      <c r="AN255" s="198"/>
      <c r="AO255" s="196"/>
      <c r="AP255" s="196"/>
      <c r="AQ255" s="196"/>
      <c r="AR255" s="196"/>
      <c r="AS255" s="196"/>
      <c r="AT255" s="196"/>
      <c r="AU255" s="196"/>
      <c r="AV255" s="196"/>
      <c r="AW255" s="196"/>
      <c r="AX255" s="196"/>
      <c r="AY255" s="196"/>
      <c r="AZ255" s="196"/>
      <c r="BA255" s="196"/>
      <c r="BB255" s="196"/>
      <c r="BC255" s="196"/>
      <c r="BD255" s="196"/>
      <c r="BE255" s="196"/>
      <c r="BF255" s="196"/>
      <c r="BG255" s="196"/>
    </row>
    <row r="256" spans="3:59" s="191" customFormat="1" ht="12.75">
      <c r="C256" s="1" t="e">
        <f>E256*(VLOOKUP(D256,Race,2,FALSE)*(N256*init_bonus+O256+P256*front+Q256*Back+R256+S256*armour+SUM(T256:V256))*(Thrust_base+(I256/J256)/Thrust_div)*POWER(W256,Weapon_power))/(POWER(signature,(L256-M256)))*IF(K256="Y",gravitic,1)*IF(H256="Y",agile,1)/divisor</f>
        <v>#N/A</v>
      </c>
      <c r="D256" s="198"/>
      <c r="E256" s="193"/>
      <c r="F256" s="193"/>
      <c r="G256" s="194"/>
      <c r="H256" s="195" t="s">
        <v>21</v>
      </c>
      <c r="I256" s="195"/>
      <c r="J256" s="195"/>
      <c r="K256" s="193"/>
      <c r="L256" s="193"/>
      <c r="M256" s="193"/>
      <c r="N256" s="193"/>
      <c r="O256" s="193"/>
      <c r="P256" s="193"/>
      <c r="Q256" s="193"/>
      <c r="R256" s="193"/>
      <c r="S256" s="193"/>
      <c r="T256" s="193" t="s">
        <v>1000</v>
      </c>
      <c r="U256" s="193" t="s">
        <v>1001</v>
      </c>
      <c r="V256" s="193"/>
      <c r="W256" s="190">
        <f>SUM(X256:BD256)*(num_weapons_base+num_weapons_mod*COUNT(X256:BD256))</f>
        <v>0</v>
      </c>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6"/>
      <c r="AZ256" s="196"/>
      <c r="BA256" s="196"/>
      <c r="BB256" s="196"/>
      <c r="BC256" s="196"/>
      <c r="BD256" s="196"/>
      <c r="BE256" s="196"/>
      <c r="BF256" s="196"/>
      <c r="BG256" s="196"/>
    </row>
    <row r="257" spans="1:59" s="191" customFormat="1" ht="12.75">
      <c r="A257" s="141"/>
      <c r="B257" s="135"/>
      <c r="C257" s="42"/>
      <c r="D257" s="214"/>
      <c r="E257" s="136"/>
      <c r="F257" s="136"/>
      <c r="G257" s="215"/>
      <c r="H257" s="214"/>
      <c r="I257" s="214"/>
      <c r="J257" s="214"/>
      <c r="K257" s="136"/>
      <c r="L257" s="136"/>
      <c r="M257" s="136"/>
      <c r="N257" s="136"/>
      <c r="O257" s="136"/>
      <c r="P257" s="141"/>
      <c r="Q257" s="136"/>
      <c r="R257" s="141"/>
      <c r="S257" s="136"/>
      <c r="T257" s="136"/>
      <c r="U257" s="136"/>
      <c r="V257" s="136"/>
      <c r="W257" s="216"/>
      <c r="X257" s="43" t="s">
        <v>29</v>
      </c>
      <c r="Y257" s="43" t="s">
        <v>46</v>
      </c>
      <c r="Z257" s="43"/>
      <c r="AA257" s="43"/>
      <c r="AB257" s="43"/>
      <c r="AC257" s="43"/>
      <c r="AD257" s="43"/>
      <c r="AE257" s="59"/>
      <c r="AF257" s="59"/>
      <c r="AG257" s="59"/>
      <c r="AH257" s="59"/>
      <c r="AI257" s="59"/>
      <c r="AJ257" s="59"/>
      <c r="AK257" s="59"/>
      <c r="AL257" s="59"/>
      <c r="AM257" s="59"/>
      <c r="AN257" s="59"/>
      <c r="AO257" s="59"/>
      <c r="AP257" s="59"/>
      <c r="AQ257" s="59"/>
      <c r="AR257" s="59"/>
      <c r="AS257" s="59"/>
      <c r="AT257" s="59"/>
      <c r="AU257" s="59"/>
      <c r="AV257" s="59"/>
      <c r="AW257" s="59"/>
      <c r="AX257" s="59"/>
      <c r="AY257" s="43"/>
      <c r="AZ257" s="43"/>
      <c r="BA257" s="43"/>
      <c r="BB257" s="43"/>
      <c r="BC257" s="43"/>
      <c r="BD257" s="43"/>
      <c r="BE257" s="43"/>
      <c r="BF257" s="43"/>
      <c r="BG257" s="43"/>
    </row>
    <row r="258" spans="2:59" ht="12.75">
      <c r="B258" s="12" t="s">
        <v>580</v>
      </c>
      <c r="C258" s="1">
        <f>E258*(VLOOKUP(D258,Race,2,FALSE)*(N258*init_bonus+O258+P258*front+Q258*Back+R258+S258*armour+SUM(T258:V258))*(Thrust_base+(I258/J258)/Thrust_div)*POWER(W258,Weapon_power))/(POWER(signature,(L258-M258)))*IF(K258="Y",gravitic,1)*IF(H258="Y",agile,1)/divisor</f>
        <v>2498.2523533126173</v>
      </c>
      <c r="D258" s="1" t="s">
        <v>579</v>
      </c>
      <c r="E258" s="57">
        <v>1.1</v>
      </c>
      <c r="F258" s="57"/>
      <c r="G258" s="58">
        <v>0</v>
      </c>
      <c r="H258" s="52" t="s">
        <v>2</v>
      </c>
      <c r="I258" s="52">
        <v>18</v>
      </c>
      <c r="J258" s="52">
        <v>3</v>
      </c>
      <c r="K258" s="57" t="s">
        <v>2</v>
      </c>
      <c r="L258" s="57">
        <v>3</v>
      </c>
      <c r="M258" s="57">
        <v>14</v>
      </c>
      <c r="N258" s="57">
        <v>12</v>
      </c>
      <c r="O258" s="57">
        <v>50</v>
      </c>
      <c r="P258" s="57">
        <v>0</v>
      </c>
      <c r="Q258" s="57">
        <v>0</v>
      </c>
      <c r="R258" s="57">
        <v>0</v>
      </c>
      <c r="S258" s="57">
        <v>8</v>
      </c>
      <c r="T258" s="57">
        <v>125</v>
      </c>
      <c r="U258" s="57">
        <v>120</v>
      </c>
      <c r="V258" s="57"/>
      <c r="W258" s="1">
        <f>SUM(X258:BD258)*(num_weapons_base+num_weapons_mod*COUNT(X258:BD258))</f>
        <v>190.84934131736532</v>
      </c>
      <c r="X258" s="60">
        <f>VLOOKUP(X257,weapon,2,FALSE)</f>
        <v>175.6047904191617</v>
      </c>
      <c r="Y258" s="60">
        <f>VLOOKUP(Y257,weapon,2,FALSE)</f>
        <v>7.904191616766468</v>
      </c>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43"/>
      <c r="AZ258" s="43"/>
      <c r="BA258" s="43"/>
      <c r="BB258" s="43"/>
      <c r="BC258" s="43"/>
      <c r="BD258" s="43"/>
      <c r="BE258" s="43"/>
      <c r="BF258" s="43"/>
      <c r="BG258" s="43"/>
    </row>
    <row r="259" spans="2:59" ht="12.75">
      <c r="B259" s="12"/>
      <c r="C259" s="42"/>
      <c r="D259" s="42"/>
      <c r="E259" s="57"/>
      <c r="F259" s="57"/>
      <c r="G259" s="58"/>
      <c r="H259" s="5"/>
      <c r="I259" s="5"/>
      <c r="J259" s="5"/>
      <c r="K259" s="57"/>
      <c r="L259" s="57"/>
      <c r="M259" s="57"/>
      <c r="N259" s="57"/>
      <c r="O259" s="57"/>
      <c r="P259" s="57"/>
      <c r="Q259" s="57"/>
      <c r="R259" s="57"/>
      <c r="S259" s="57"/>
      <c r="T259" s="57"/>
      <c r="U259" s="57"/>
      <c r="V259" s="57"/>
      <c r="W259" s="1"/>
      <c r="X259" s="43" t="s">
        <v>51</v>
      </c>
      <c r="Y259" s="43" t="s">
        <v>51</v>
      </c>
      <c r="Z259" s="43" t="s">
        <v>49</v>
      </c>
      <c r="AA259" s="43" t="s">
        <v>49</v>
      </c>
      <c r="AB259" s="43"/>
      <c r="AC259" s="43"/>
      <c r="AD259" s="43"/>
      <c r="AE259" s="59"/>
      <c r="AF259" s="59"/>
      <c r="AG259" s="59"/>
      <c r="AH259" s="59"/>
      <c r="AI259" s="59"/>
      <c r="AJ259" s="59"/>
      <c r="AK259" s="59"/>
      <c r="AL259" s="59"/>
      <c r="AM259" s="59"/>
      <c r="AN259" s="59"/>
      <c r="AO259" s="59"/>
      <c r="AP259" s="59"/>
      <c r="AQ259" s="59"/>
      <c r="AR259" s="59"/>
      <c r="AS259" s="59"/>
      <c r="AT259" s="59"/>
      <c r="AU259" s="59"/>
      <c r="AV259" s="59"/>
      <c r="AW259" s="59"/>
      <c r="AX259" s="59"/>
      <c r="AY259" s="43"/>
      <c r="AZ259" s="43"/>
      <c r="BA259" s="43"/>
      <c r="BB259" s="43"/>
      <c r="BC259" s="43"/>
      <c r="BD259" s="43"/>
      <c r="BE259" s="43"/>
      <c r="BF259" s="43"/>
      <c r="BG259" s="43"/>
    </row>
    <row r="260" spans="2:59" ht="12.75">
      <c r="B260" s="12" t="s">
        <v>581</v>
      </c>
      <c r="C260" s="1">
        <f>E260*(VLOOKUP(D260,Race,2,FALSE)*(N260*init_bonus+O260+P260*front+Q260*Back+R260+S260*armour+SUM(T260:V260))*(Thrust_base+(I260/J260)/Thrust_div)*POWER(W260,Weapon_power))/(POWER(signature,(L260-M260)))*IF(K260="Y",gravitic,1)*IF(H260="Y",agile,1)/divisor</f>
        <v>2217.544748477252</v>
      </c>
      <c r="D260" s="1" t="s">
        <v>579</v>
      </c>
      <c r="E260" s="57">
        <v>1.1</v>
      </c>
      <c r="F260" s="57"/>
      <c r="G260" s="58">
        <v>0</v>
      </c>
      <c r="H260" s="52" t="s">
        <v>2</v>
      </c>
      <c r="I260" s="52">
        <v>12</v>
      </c>
      <c r="J260" s="52">
        <v>1.5</v>
      </c>
      <c r="K260" s="57" t="s">
        <v>2</v>
      </c>
      <c r="L260" s="57">
        <v>0</v>
      </c>
      <c r="M260" s="57">
        <v>12</v>
      </c>
      <c r="N260" s="57">
        <v>14</v>
      </c>
      <c r="O260" s="57">
        <v>30</v>
      </c>
      <c r="P260" s="57">
        <v>90</v>
      </c>
      <c r="Q260" s="57">
        <v>0</v>
      </c>
      <c r="R260" s="57">
        <v>80</v>
      </c>
      <c r="S260" s="57">
        <v>8</v>
      </c>
      <c r="T260" s="57"/>
      <c r="U260" s="57"/>
      <c r="V260" s="57"/>
      <c r="W260" s="1">
        <f>SUM(X260:BD260)*(num_weapons_base+num_weapons_mod*COUNT(X260:BD260))</f>
        <v>199.61257408383227</v>
      </c>
      <c r="X260" s="60">
        <f>VLOOKUP(X259,weapon,2,FALSE)</f>
        <v>62.47185628742514</v>
      </c>
      <c r="Y260" s="60">
        <f>VLOOKUP(Y259,weapon,2,FALSE)</f>
        <v>62.47185628742514</v>
      </c>
      <c r="Z260" s="60">
        <f>VLOOKUP(Z259,weapon,2,FALSE)</f>
        <v>26.6409</v>
      </c>
      <c r="AA260" s="60">
        <f>VLOOKUP(AA259,weapon,2,FALSE)</f>
        <v>26.6409</v>
      </c>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43"/>
      <c r="AZ260" s="43"/>
      <c r="BA260" s="43"/>
      <c r="BB260" s="43"/>
      <c r="BC260" s="43"/>
      <c r="BD260" s="43"/>
      <c r="BE260" s="43"/>
      <c r="BF260" s="43"/>
      <c r="BG260" s="43"/>
    </row>
    <row r="261" spans="2:59" ht="12.75">
      <c r="B261" s="12"/>
      <c r="C261" s="42"/>
      <c r="D261" s="42"/>
      <c r="E261" s="57"/>
      <c r="F261" s="57"/>
      <c r="G261" s="58"/>
      <c r="H261" s="5"/>
      <c r="I261" s="5"/>
      <c r="J261" s="5"/>
      <c r="K261" s="57"/>
      <c r="L261" s="57"/>
      <c r="M261" s="57"/>
      <c r="N261" s="57"/>
      <c r="O261" s="57"/>
      <c r="P261" s="57"/>
      <c r="Q261" s="57"/>
      <c r="R261" s="57"/>
      <c r="S261" s="57"/>
      <c r="T261" s="57"/>
      <c r="U261" s="57"/>
      <c r="V261" s="57"/>
      <c r="W261" s="1"/>
      <c r="X261" s="43" t="s">
        <v>51</v>
      </c>
      <c r="Y261" s="43" t="s">
        <v>51</v>
      </c>
      <c r="Z261" s="43" t="s">
        <v>49</v>
      </c>
      <c r="AA261" s="43" t="s">
        <v>49</v>
      </c>
      <c r="AB261" s="43"/>
      <c r="AC261" s="43"/>
      <c r="AD261" s="43"/>
      <c r="AE261" s="59"/>
      <c r="AF261" s="59"/>
      <c r="AG261" s="59"/>
      <c r="AH261" s="59"/>
      <c r="AI261" s="59"/>
      <c r="AJ261" s="59"/>
      <c r="AK261" s="59"/>
      <c r="AL261" s="59"/>
      <c r="AM261" s="59"/>
      <c r="AN261" s="59"/>
      <c r="AO261" s="59"/>
      <c r="AP261" s="59"/>
      <c r="AQ261" s="59"/>
      <c r="AR261" s="59"/>
      <c r="AS261" s="59"/>
      <c r="AT261" s="59"/>
      <c r="AU261" s="59"/>
      <c r="AV261" s="59"/>
      <c r="AW261" s="59"/>
      <c r="AX261" s="59"/>
      <c r="AY261" s="43"/>
      <c r="AZ261" s="43"/>
      <c r="BA261" s="43"/>
      <c r="BB261" s="43"/>
      <c r="BC261" s="43"/>
      <c r="BD261" s="43"/>
      <c r="BE261" s="43"/>
      <c r="BF261" s="43"/>
      <c r="BG261" s="43"/>
    </row>
    <row r="262" spans="2:59" ht="12.75">
      <c r="B262" s="12" t="s">
        <v>582</v>
      </c>
      <c r="C262" s="1">
        <f>E262*(VLOOKUP(D262,Race,2,FALSE)*(N262*init_bonus+O262+P262*front+Q262*Back+R262+S262*armour+SUM(T262:V262))*(Thrust_base+(I262/J262)/Thrust_div)*POWER(W262,Weapon_power))/(POWER(signature,(L262-M262)))*IF(K262="Y",gravitic,1)*IF(H262="Y",agile,1)/divisor</f>
        <v>2217.544748477252</v>
      </c>
      <c r="D262" s="1" t="s">
        <v>579</v>
      </c>
      <c r="E262" s="57">
        <v>1.1</v>
      </c>
      <c r="F262" s="57"/>
      <c r="G262" s="58">
        <v>0</v>
      </c>
      <c r="H262" s="52" t="s">
        <v>2</v>
      </c>
      <c r="I262" s="52">
        <v>12</v>
      </c>
      <c r="J262" s="52">
        <v>1.5</v>
      </c>
      <c r="K262" s="57" t="s">
        <v>2</v>
      </c>
      <c r="L262" s="57">
        <v>0</v>
      </c>
      <c r="M262" s="57">
        <v>12</v>
      </c>
      <c r="N262" s="57">
        <v>14</v>
      </c>
      <c r="O262" s="57">
        <v>30</v>
      </c>
      <c r="P262" s="57">
        <v>90</v>
      </c>
      <c r="Q262" s="57">
        <v>0</v>
      </c>
      <c r="R262" s="57">
        <v>80</v>
      </c>
      <c r="S262" s="57">
        <v>8</v>
      </c>
      <c r="T262" s="57"/>
      <c r="U262" s="57"/>
      <c r="V262" s="57"/>
      <c r="W262" s="1">
        <f>SUM(X262:BD262)*(num_weapons_base+num_weapons_mod*COUNT(X262:BD262))</f>
        <v>199.61257408383227</v>
      </c>
      <c r="X262" s="60">
        <f>VLOOKUP(X261,weapon,2,FALSE)</f>
        <v>62.47185628742514</v>
      </c>
      <c r="Y262" s="60">
        <f>VLOOKUP(Y261,weapon,2,FALSE)</f>
        <v>62.47185628742514</v>
      </c>
      <c r="Z262" s="60">
        <f>VLOOKUP(Z261,weapon,2,FALSE)</f>
        <v>26.6409</v>
      </c>
      <c r="AA262" s="60">
        <f>VLOOKUP(AA261,weapon,2,FALSE)</f>
        <v>26.6409</v>
      </c>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43"/>
      <c r="AZ262" s="43"/>
      <c r="BA262" s="43"/>
      <c r="BB262" s="43"/>
      <c r="BC262" s="43"/>
      <c r="BD262" s="43"/>
      <c r="BE262" s="43"/>
      <c r="BF262" s="43"/>
      <c r="BG262" s="43"/>
    </row>
    <row r="263" spans="1:59" s="191" customFormat="1" ht="12.75">
      <c r="A263" s="189" t="s">
        <v>583</v>
      </c>
      <c r="B263" s="197"/>
      <c r="C263" s="42"/>
      <c r="D263" s="192"/>
      <c r="E263" s="193"/>
      <c r="F263" s="193"/>
      <c r="G263" s="194"/>
      <c r="H263" s="198"/>
      <c r="I263" s="198"/>
      <c r="J263" s="198"/>
      <c r="K263" s="193"/>
      <c r="L263" s="193"/>
      <c r="M263" s="193"/>
      <c r="N263" s="193"/>
      <c r="O263" s="193"/>
      <c r="P263" s="193"/>
      <c r="Q263" s="193"/>
      <c r="R263" s="193"/>
      <c r="S263" s="193"/>
      <c r="T263" s="193"/>
      <c r="U263" s="193"/>
      <c r="V263" s="193"/>
      <c r="W263" s="190"/>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6"/>
      <c r="AZ263" s="196"/>
      <c r="BA263" s="196"/>
      <c r="BB263" s="196"/>
      <c r="BC263" s="196"/>
      <c r="BD263" s="196"/>
      <c r="BE263" s="196"/>
      <c r="BF263" s="196"/>
      <c r="BG263" s="196"/>
    </row>
    <row r="264" spans="3:59" s="191" customFormat="1" ht="12.75">
      <c r="C264" s="1" t="e">
        <f>E264*(VLOOKUP(D264,Race,2,FALSE)*(N264*init_bonus+O264+P264*front+Q264*Back+R264+S264*armour+SUM(T264:V264))*(Thrust_base+(I264/J264)/Thrust_div)*POWER(W264,Weapon_power))/(POWER(signature,(L264-M264)))*IF(K264="Y",gravitic,1)*IF(H264="Y",agile,1)/divisor</f>
        <v>#N/A</v>
      </c>
      <c r="D264" s="198"/>
      <c r="E264" s="193"/>
      <c r="F264" s="193"/>
      <c r="G264" s="194"/>
      <c r="H264" s="195" t="s">
        <v>21</v>
      </c>
      <c r="I264" s="195"/>
      <c r="J264" s="195"/>
      <c r="K264" s="193"/>
      <c r="L264" s="193"/>
      <c r="M264" s="193"/>
      <c r="N264" s="193"/>
      <c r="O264" s="193"/>
      <c r="P264" s="193"/>
      <c r="Q264" s="193"/>
      <c r="R264" s="193"/>
      <c r="S264" s="193"/>
      <c r="T264" s="193"/>
      <c r="U264" s="193"/>
      <c r="V264" s="193"/>
      <c r="W264" s="190">
        <f>SUM(X264:BD264)*(num_weapons_base+num_weapons_mod*COUNT(X264:BD264))</f>
        <v>0</v>
      </c>
      <c r="X264" s="193"/>
      <c r="Y264" s="193"/>
      <c r="Z264" s="193"/>
      <c r="AA264" s="193"/>
      <c r="AB264" s="193"/>
      <c r="AC264" s="193"/>
      <c r="AD264" s="193"/>
      <c r="AE264" s="193"/>
      <c r="AF264" s="193"/>
      <c r="AG264" s="193"/>
      <c r="AH264" s="193"/>
      <c r="AI264" s="193"/>
      <c r="AJ264" s="193"/>
      <c r="AK264" s="193"/>
      <c r="AL264" s="193"/>
      <c r="AM264" s="193"/>
      <c r="AN264" s="193"/>
      <c r="AO264" s="193"/>
      <c r="AP264" s="193"/>
      <c r="AQ264" s="193"/>
      <c r="AR264" s="193"/>
      <c r="AS264" s="193"/>
      <c r="AT264" s="193"/>
      <c r="AU264" s="193"/>
      <c r="AV264" s="193"/>
      <c r="AW264" s="193"/>
      <c r="AX264" s="193"/>
      <c r="AY264" s="196"/>
      <c r="AZ264" s="196"/>
      <c r="BA264" s="196"/>
      <c r="BB264" s="196"/>
      <c r="BC264" s="196"/>
      <c r="BD264" s="196"/>
      <c r="BE264" s="196"/>
      <c r="BF264" s="196"/>
      <c r="BG264" s="196"/>
    </row>
    <row r="265" spans="1:59" s="191" customFormat="1" ht="12.75">
      <c r="A265" s="141"/>
      <c r="B265" s="219"/>
      <c r="C265" s="42"/>
      <c r="D265" s="214"/>
      <c r="E265" s="136"/>
      <c r="F265" s="136"/>
      <c r="G265" s="215"/>
      <c r="H265" s="55"/>
      <c r="I265" s="55"/>
      <c r="J265" s="55"/>
      <c r="K265" s="136"/>
      <c r="L265" s="136"/>
      <c r="M265" s="136"/>
      <c r="N265" s="136"/>
      <c r="O265" s="136"/>
      <c r="P265" s="136"/>
      <c r="Q265" s="136"/>
      <c r="R265" s="136"/>
      <c r="S265" s="136"/>
      <c r="T265" s="136"/>
      <c r="U265" s="136"/>
      <c r="V265" s="136"/>
      <c r="W265" s="216"/>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43"/>
      <c r="AZ265" s="43"/>
      <c r="BA265" s="43"/>
      <c r="BB265" s="43"/>
      <c r="BC265" s="43"/>
      <c r="BD265" s="43"/>
      <c r="BE265" s="43"/>
      <c r="BF265" s="43"/>
      <c r="BG265" s="43"/>
    </row>
    <row r="266" spans="2:59" ht="12.75">
      <c r="B266" s="12" t="s">
        <v>584</v>
      </c>
      <c r="C266" s="1" t="e">
        <f>E266*(VLOOKUP(D266,Race,2,FALSE)*(N266*init_bonus+O266+P266*front+Q266*Back+R266+S266*armour+SUM(T266:V266))*(Thrust_base+(I266/J266)/Thrust_div)*POWER(W266,Weapon_power))/(POWER(signature,(L266-M266)))*IF(K266="Y",gravitic,1)*IF(H266="Y",agile,1)/divisor</f>
        <v>#N/A</v>
      </c>
      <c r="D266" s="1" t="s">
        <v>701</v>
      </c>
      <c r="E266" s="57">
        <v>1.1</v>
      </c>
      <c r="F266" s="57"/>
      <c r="G266" s="58">
        <v>0</v>
      </c>
      <c r="H266" s="5"/>
      <c r="I266" s="5">
        <v>16</v>
      </c>
      <c r="J266" s="5">
        <v>4</v>
      </c>
      <c r="K266" s="57" t="s">
        <v>2</v>
      </c>
      <c r="L266" s="57">
        <v>3</v>
      </c>
      <c r="M266" s="57">
        <v>14</v>
      </c>
      <c r="N266" s="57"/>
      <c r="O266" s="57"/>
      <c r="P266" s="57"/>
      <c r="Q266" s="57"/>
      <c r="R266" s="57"/>
      <c r="S266" s="57"/>
      <c r="T266" s="57"/>
      <c r="U266" s="57"/>
      <c r="V266" s="57"/>
      <c r="W266" s="1">
        <f>SUM(X266:BD266)*(num_weapons_base+num_weapons_mod*COUNT(X266:BD266))</f>
        <v>0</v>
      </c>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43"/>
      <c r="AZ266" s="43"/>
      <c r="BA266" s="43"/>
      <c r="BB266" s="43"/>
      <c r="BC266" s="43"/>
      <c r="BD266" s="43"/>
      <c r="BE266" s="43"/>
      <c r="BF266" s="43"/>
      <c r="BG266" s="43"/>
    </row>
    <row r="267" spans="1:59" s="191" customFormat="1" ht="12.75">
      <c r="A267" s="189" t="s">
        <v>19</v>
      </c>
      <c r="B267" s="197"/>
      <c r="C267" s="42"/>
      <c r="D267" s="192"/>
      <c r="E267" s="193"/>
      <c r="F267" s="193"/>
      <c r="G267" s="194"/>
      <c r="H267" s="195" t="s">
        <v>21</v>
      </c>
      <c r="I267" s="195"/>
      <c r="J267" s="195"/>
      <c r="K267" s="193"/>
      <c r="L267" s="193"/>
      <c r="M267" s="193"/>
      <c r="N267" s="193"/>
      <c r="O267" s="193"/>
      <c r="P267" s="193"/>
      <c r="Q267" s="193"/>
      <c r="R267" s="193"/>
      <c r="S267" s="193"/>
      <c r="T267" s="193"/>
      <c r="U267" s="193"/>
      <c r="V267" s="193"/>
      <c r="W267" s="190"/>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3"/>
      <c r="AT267" s="193"/>
      <c r="AU267" s="193"/>
      <c r="AV267" s="193"/>
      <c r="AW267" s="193"/>
      <c r="AX267" s="193"/>
      <c r="AY267" s="196"/>
      <c r="AZ267" s="196"/>
      <c r="BA267" s="196"/>
      <c r="BB267" s="196"/>
      <c r="BC267" s="196"/>
      <c r="BD267" s="196"/>
      <c r="BE267" s="196"/>
      <c r="BF267" s="196"/>
      <c r="BG267" s="196"/>
    </row>
    <row r="268" spans="3:23" s="191" customFormat="1" ht="12.75">
      <c r="C268" s="1" t="e">
        <f>E268*(VLOOKUP(D268,Race,2,FALSE)*(N268*init_bonus+O268+P268*front+Q268*Back+R268+S268*armour+SUM(T268:V268))*(Thrust_base+(I268/J268)/Thrust_div)*POWER(W268,Weapon_power))/(POWER(signature,(L268-M268)))*IF(K268="Y",gravitic,1)*IF(H268="Y",agile,1)/divisor</f>
        <v>#N/A</v>
      </c>
      <c r="D268" s="198"/>
      <c r="W268" s="190">
        <f>SUM(X268:BD268)*(num_weapons_base+num_weapons_mod*COUNT(X268:BD268))</f>
        <v>0</v>
      </c>
    </row>
    <row r="269" spans="1:59" s="191" customFormat="1" ht="12.75">
      <c r="A269" s="141"/>
      <c r="B269" s="219"/>
      <c r="C269" s="42"/>
      <c r="D269" s="214"/>
      <c r="E269" s="136"/>
      <c r="F269" s="136"/>
      <c r="G269" s="215"/>
      <c r="H269" s="55"/>
      <c r="I269" s="55"/>
      <c r="J269" s="55"/>
      <c r="K269" s="136"/>
      <c r="L269" s="136"/>
      <c r="M269" s="136"/>
      <c r="N269" s="136"/>
      <c r="O269" s="136"/>
      <c r="P269" s="136"/>
      <c r="Q269" s="136"/>
      <c r="R269" s="136"/>
      <c r="S269" s="136"/>
      <c r="T269" s="136"/>
      <c r="U269" s="136"/>
      <c r="V269" s="136"/>
      <c r="W269" s="216"/>
      <c r="X269" s="43" t="s">
        <v>13</v>
      </c>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43"/>
      <c r="AZ269" s="43"/>
      <c r="BA269" s="43"/>
      <c r="BB269" s="43"/>
      <c r="BC269" s="43"/>
      <c r="BD269" s="43"/>
      <c r="BE269" s="43"/>
      <c r="BF269" s="43"/>
      <c r="BG269" s="43"/>
    </row>
    <row r="270" spans="2:59" ht="12.75">
      <c r="B270" s="12" t="s">
        <v>882</v>
      </c>
      <c r="C270" s="1">
        <f>E270*(VLOOKUP(D270,Race,2,FALSE)*(N270*init_bonus+O270+P270*front+Q270*Back+R270+S270*armour+SUM(T270:V270))*(Thrust_base+(I270/J270)/Thrust_div)*POWER(W270,Weapon_power))/(POWER(signature,(L270-M270)))*IF(K270="Y",gravitic,1)*IF(H270="Y",agile,1)/divisor</f>
        <v>91.37569704989069</v>
      </c>
      <c r="D270" s="1" t="s">
        <v>19</v>
      </c>
      <c r="E270" s="57">
        <v>3</v>
      </c>
      <c r="F270" s="57"/>
      <c r="G270" s="58">
        <v>0</v>
      </c>
      <c r="H270" s="5" t="s">
        <v>2</v>
      </c>
      <c r="I270" s="5">
        <v>10</v>
      </c>
      <c r="J270" s="5">
        <v>1</v>
      </c>
      <c r="K270" s="57" t="s">
        <v>2</v>
      </c>
      <c r="L270" s="57">
        <v>-2</v>
      </c>
      <c r="M270" s="57">
        <v>6</v>
      </c>
      <c r="N270" s="57">
        <v>16</v>
      </c>
      <c r="O270" s="57">
        <v>20</v>
      </c>
      <c r="P270" s="57">
        <v>0</v>
      </c>
      <c r="Q270" s="57">
        <v>0</v>
      </c>
      <c r="R270" s="57">
        <v>0</v>
      </c>
      <c r="S270" s="57">
        <v>1</v>
      </c>
      <c r="T270" s="57"/>
      <c r="U270" s="57"/>
      <c r="V270" s="57"/>
      <c r="W270" s="1">
        <f>SUM(X270:BD270)*(num_weapons_base+num_weapons_mod*COUNT(X270:BD270))</f>
        <v>15.613714285714284</v>
      </c>
      <c r="X270" s="60">
        <f>VLOOKUP(X269,weapon,2,FALSE)</f>
        <v>15.613714285714284</v>
      </c>
      <c r="Y270" s="60"/>
      <c r="Z270" s="60"/>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43"/>
      <c r="AZ270" s="43"/>
      <c r="BA270" s="43"/>
      <c r="BB270" s="43"/>
      <c r="BC270" s="43"/>
      <c r="BD270" s="43"/>
      <c r="BE270" s="43"/>
      <c r="BF270" s="43"/>
      <c r="BG270" s="43"/>
    </row>
    <row r="271" spans="2:59" ht="12.75">
      <c r="B271" s="15"/>
      <c r="C271" s="42"/>
      <c r="D271" s="42"/>
      <c r="E271" s="57"/>
      <c r="F271" s="57"/>
      <c r="G271" s="58"/>
      <c r="H271" s="52"/>
      <c r="I271" s="52"/>
      <c r="J271" s="52"/>
      <c r="K271" s="57"/>
      <c r="L271" s="57"/>
      <c r="M271" s="57"/>
      <c r="N271" s="57"/>
      <c r="O271" s="57"/>
      <c r="P271" s="57"/>
      <c r="Q271" s="57"/>
      <c r="R271" s="57"/>
      <c r="S271" s="57"/>
      <c r="T271" s="57"/>
      <c r="U271" s="57"/>
      <c r="V271" s="57"/>
      <c r="W271" s="1"/>
      <c r="X271" s="43" t="s">
        <v>17</v>
      </c>
      <c r="Y271" s="59" t="s">
        <v>306</v>
      </c>
      <c r="Z271" s="59" t="s">
        <v>306</v>
      </c>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43"/>
      <c r="AZ271" s="43"/>
      <c r="BA271" s="43"/>
      <c r="BB271" s="43"/>
      <c r="BC271" s="43"/>
      <c r="BD271" s="43"/>
      <c r="BE271" s="43"/>
      <c r="BF271" s="43"/>
      <c r="BG271" s="43"/>
    </row>
    <row r="272" spans="2:59" ht="12.75">
      <c r="B272" s="12" t="s">
        <v>883</v>
      </c>
      <c r="C272" s="1">
        <f>E272*(VLOOKUP(D272,Race,2,FALSE)*(N272*init_bonus+O272+P272*front+Q272*Back+R272+S272*armour+SUM(T272:V272))*(Thrust_base+(I272/J272)/Thrust_div)*POWER(W272,Weapon_power))/(POWER(signature,(L272-M272)))*IF(K272="Y",gravitic,1)*IF(H272="Y",agile,1)/divisor</f>
        <v>244.29962750077385</v>
      </c>
      <c r="D272" s="1" t="s">
        <v>19</v>
      </c>
      <c r="E272" s="57">
        <v>3</v>
      </c>
      <c r="F272" s="57"/>
      <c r="G272" s="58">
        <v>0</v>
      </c>
      <c r="H272" s="5" t="s">
        <v>2</v>
      </c>
      <c r="I272" s="5">
        <v>8</v>
      </c>
      <c r="J272" s="5">
        <v>1</v>
      </c>
      <c r="K272" s="57" t="s">
        <v>2</v>
      </c>
      <c r="L272" s="57">
        <v>1</v>
      </c>
      <c r="M272" s="57">
        <v>8</v>
      </c>
      <c r="N272" s="57">
        <v>14</v>
      </c>
      <c r="O272" s="57">
        <v>30</v>
      </c>
      <c r="P272" s="57">
        <v>0</v>
      </c>
      <c r="Q272" s="57">
        <v>0</v>
      </c>
      <c r="R272" s="57">
        <v>0</v>
      </c>
      <c r="S272" s="57">
        <v>1</v>
      </c>
      <c r="T272" s="57"/>
      <c r="U272" s="57"/>
      <c r="V272" s="57"/>
      <c r="W272" s="1">
        <f>SUM(X272:BD272)*(num_weapons_base+num_weapons_mod*COUNT(X272:BD272))</f>
        <v>44.68782934131737</v>
      </c>
      <c r="X272" s="60">
        <f>VLOOKUP(X271,weapon,2,FALSE)</f>
        <v>44.68782934131737</v>
      </c>
      <c r="Y272" s="60"/>
      <c r="Z272" s="60"/>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43"/>
      <c r="AZ272" s="43"/>
      <c r="BA272" s="43"/>
      <c r="BB272" s="43"/>
      <c r="BC272" s="43"/>
      <c r="BD272" s="43"/>
      <c r="BE272" s="43"/>
      <c r="BF272" s="43"/>
      <c r="BG272" s="43"/>
    </row>
    <row r="273" spans="2:59" ht="12.75">
      <c r="B273" s="15"/>
      <c r="C273" s="42"/>
      <c r="D273" s="42"/>
      <c r="E273" s="57"/>
      <c r="F273" s="57"/>
      <c r="G273" s="58"/>
      <c r="H273" s="52"/>
      <c r="I273" s="52"/>
      <c r="J273" s="52"/>
      <c r="K273" s="57"/>
      <c r="L273" s="57"/>
      <c r="M273" s="57"/>
      <c r="N273" s="57"/>
      <c r="O273" s="57"/>
      <c r="P273" s="57"/>
      <c r="Q273" s="57"/>
      <c r="R273" s="57"/>
      <c r="S273" s="57"/>
      <c r="T273" s="57"/>
      <c r="U273" s="57"/>
      <c r="V273" s="57"/>
      <c r="W273" s="1"/>
      <c r="X273" s="43" t="s">
        <v>17</v>
      </c>
      <c r="Y273" s="43" t="s">
        <v>17</v>
      </c>
      <c r="Z273" s="43" t="s">
        <v>13</v>
      </c>
      <c r="AA273" s="43" t="s">
        <v>13</v>
      </c>
      <c r="AB273" s="43" t="s">
        <v>9</v>
      </c>
      <c r="AC273" s="43" t="s">
        <v>9</v>
      </c>
      <c r="AD273" s="43" t="s">
        <v>9</v>
      </c>
      <c r="AE273" s="43" t="s">
        <v>9</v>
      </c>
      <c r="AF273" s="59"/>
      <c r="AG273" s="59"/>
      <c r="AH273" s="59"/>
      <c r="AI273" s="59"/>
      <c r="AJ273" s="59"/>
      <c r="AK273" s="59"/>
      <c r="AL273" s="59"/>
      <c r="AM273" s="59"/>
      <c r="AN273" s="59"/>
      <c r="AO273" s="59"/>
      <c r="AP273" s="59"/>
      <c r="AQ273" s="59"/>
      <c r="AR273" s="59"/>
      <c r="AS273" s="59"/>
      <c r="AT273" s="59"/>
      <c r="AU273" s="59"/>
      <c r="AV273" s="59"/>
      <c r="AW273" s="59"/>
      <c r="AX273" s="59"/>
      <c r="AY273" s="43"/>
      <c r="AZ273" s="43"/>
      <c r="BA273" s="43"/>
      <c r="BB273" s="43"/>
      <c r="BC273" s="43"/>
      <c r="BD273" s="43"/>
      <c r="BE273" s="43"/>
      <c r="BF273" s="43"/>
      <c r="BG273" s="43"/>
    </row>
    <row r="274" spans="2:59" ht="12.75">
      <c r="B274" s="12" t="s">
        <v>877</v>
      </c>
      <c r="C274" s="1">
        <f>E274*(VLOOKUP(D274,Race,2,FALSE)*(N274*init_bonus+O274+P274*front+Q274*Back+R274+S274*armour+SUM(T274:V274))*(Thrust_base+(I274/J274)/Thrust_div)*POWER(W274,Weapon_power))/(POWER(signature,(L274-M274)))*IF(K274="Y",gravitic,1)*IF(H274="Y",agile,1)/divisor</f>
        <v>455.74437966490507</v>
      </c>
      <c r="D274" s="1" t="s">
        <v>19</v>
      </c>
      <c r="E274" s="57">
        <v>1</v>
      </c>
      <c r="F274" s="57"/>
      <c r="G274" s="58">
        <v>0</v>
      </c>
      <c r="H274" s="5" t="s">
        <v>21</v>
      </c>
      <c r="I274" s="5">
        <v>8</v>
      </c>
      <c r="J274" s="5">
        <v>2</v>
      </c>
      <c r="K274" s="57" t="s">
        <v>2</v>
      </c>
      <c r="L274" s="57">
        <v>9</v>
      </c>
      <c r="M274" s="57">
        <v>11</v>
      </c>
      <c r="N274" s="57">
        <v>8</v>
      </c>
      <c r="O274" s="57">
        <v>45</v>
      </c>
      <c r="P274" s="57">
        <v>50</v>
      </c>
      <c r="Q274" s="57">
        <v>40</v>
      </c>
      <c r="R274" s="57">
        <v>0</v>
      </c>
      <c r="S274" s="57">
        <v>3</v>
      </c>
      <c r="T274" s="57"/>
      <c r="U274" s="57"/>
      <c r="V274" s="57"/>
      <c r="W274" s="1">
        <f>SUM(X274:BD274)*(num_weapons_base+num_weapons_mod*COUNT(X274:BD274))</f>
        <v>253.52528288520102</v>
      </c>
      <c r="X274" s="60">
        <f aca="true" t="shared" si="84" ref="X274:AE274">VLOOKUP(X273,weapon,2,FALSE)</f>
        <v>44.68782934131737</v>
      </c>
      <c r="Y274" s="60">
        <f t="shared" si="84"/>
        <v>44.68782934131737</v>
      </c>
      <c r="Z274" s="60">
        <f t="shared" si="84"/>
        <v>15.613714285714284</v>
      </c>
      <c r="AA274" s="60">
        <f t="shared" si="84"/>
        <v>15.613714285714284</v>
      </c>
      <c r="AB274" s="60">
        <f t="shared" si="84"/>
        <v>19.365885000000006</v>
      </c>
      <c r="AC274" s="60">
        <f t="shared" si="84"/>
        <v>19.365885000000006</v>
      </c>
      <c r="AD274" s="60">
        <f t="shared" si="84"/>
        <v>19.365885000000006</v>
      </c>
      <c r="AE274" s="60">
        <f t="shared" si="84"/>
        <v>19.365885000000006</v>
      </c>
      <c r="AF274" s="59"/>
      <c r="AG274" s="59"/>
      <c r="AH274" s="59"/>
      <c r="AI274" s="59"/>
      <c r="AJ274" s="59"/>
      <c r="AK274" s="59"/>
      <c r="AL274" s="59"/>
      <c r="AM274" s="59"/>
      <c r="AN274" s="59"/>
      <c r="AO274" s="59"/>
      <c r="AP274" s="59"/>
      <c r="AQ274" s="59"/>
      <c r="AR274" s="59"/>
      <c r="AS274" s="59"/>
      <c r="AT274" s="59"/>
      <c r="AU274" s="59"/>
      <c r="AV274" s="59"/>
      <c r="AW274" s="59"/>
      <c r="AX274" s="59"/>
      <c r="AY274" s="43"/>
      <c r="AZ274" s="43"/>
      <c r="BA274" s="43"/>
      <c r="BB274" s="43"/>
      <c r="BC274" s="43"/>
      <c r="BD274" s="43"/>
      <c r="BE274" s="43"/>
      <c r="BF274" s="43"/>
      <c r="BG274" s="43"/>
    </row>
    <row r="275" spans="2:59" ht="12.75">
      <c r="B275" s="15"/>
      <c r="C275" s="42"/>
      <c r="D275" s="42"/>
      <c r="E275" s="57"/>
      <c r="F275" s="57"/>
      <c r="G275" s="58"/>
      <c r="H275" s="52"/>
      <c r="I275" s="52"/>
      <c r="J275" s="52"/>
      <c r="K275" s="57"/>
      <c r="L275" s="57"/>
      <c r="M275" s="57"/>
      <c r="N275" s="57"/>
      <c r="O275" s="57"/>
      <c r="P275" s="57"/>
      <c r="Q275" s="57"/>
      <c r="R275" s="57"/>
      <c r="S275" s="57"/>
      <c r="T275" s="57"/>
      <c r="U275" s="57"/>
      <c r="V275" s="57"/>
      <c r="W275" s="1"/>
      <c r="X275" s="43" t="s">
        <v>875</v>
      </c>
      <c r="Y275" s="43" t="s">
        <v>875</v>
      </c>
      <c r="Z275" s="43" t="s">
        <v>17</v>
      </c>
      <c r="AA275" s="43" t="s">
        <v>17</v>
      </c>
      <c r="AB275" s="43" t="s">
        <v>13</v>
      </c>
      <c r="AC275" s="43" t="s">
        <v>13</v>
      </c>
      <c r="AD275" s="43" t="s">
        <v>13</v>
      </c>
      <c r="AE275" s="43" t="s">
        <v>13</v>
      </c>
      <c r="AF275" s="43" t="s">
        <v>9</v>
      </c>
      <c r="AG275" s="43" t="s">
        <v>9</v>
      </c>
      <c r="AH275" s="43" t="s">
        <v>9</v>
      </c>
      <c r="AI275" s="43" t="s">
        <v>9</v>
      </c>
      <c r="AJ275" s="59"/>
      <c r="AK275" s="59"/>
      <c r="AL275" s="59"/>
      <c r="AM275" s="59"/>
      <c r="AN275" s="59"/>
      <c r="AO275" s="59"/>
      <c r="AP275" s="59"/>
      <c r="AQ275" s="59"/>
      <c r="AR275" s="59"/>
      <c r="AS275" s="59"/>
      <c r="AT275" s="59"/>
      <c r="AU275" s="59"/>
      <c r="AV275" s="59"/>
      <c r="AW275" s="59"/>
      <c r="AX275" s="59"/>
      <c r="AY275" s="43"/>
      <c r="AZ275" s="43"/>
      <c r="BA275" s="43"/>
      <c r="BB275" s="43"/>
      <c r="BC275" s="43"/>
      <c r="BD275" s="43"/>
      <c r="BE275" s="43"/>
      <c r="BF275" s="43"/>
      <c r="BG275" s="43"/>
    </row>
    <row r="276" spans="2:59" ht="12.75">
      <c r="B276" s="12" t="s">
        <v>880</v>
      </c>
      <c r="C276" s="1">
        <f>E276*(VLOOKUP(D276,Race,2,FALSE)*(N276*init_bonus+O276+P276*front+Q276*Back+R276+S276*armour+SUM(T276:V276))*(Thrust_base+(I276/J276)/Thrust_div)*POWER(W276,Weapon_power))/(POWER(signature,(L276-M276)))*IF(K276="Y",gravitic,1)*IF(H276="Y",agile,1)/divisor</f>
        <v>1074.601484536318</v>
      </c>
      <c r="D276" s="1" t="s">
        <v>19</v>
      </c>
      <c r="E276" s="57">
        <v>1</v>
      </c>
      <c r="F276" s="57">
        <v>6</v>
      </c>
      <c r="G276" s="58"/>
      <c r="H276" s="5" t="s">
        <v>21</v>
      </c>
      <c r="I276" s="5">
        <v>10</v>
      </c>
      <c r="J276" s="5">
        <v>3</v>
      </c>
      <c r="K276" s="57" t="s">
        <v>2</v>
      </c>
      <c r="L276" s="57">
        <v>14</v>
      </c>
      <c r="M276" s="57">
        <v>13</v>
      </c>
      <c r="N276" s="57">
        <v>2</v>
      </c>
      <c r="O276" s="57">
        <v>55</v>
      </c>
      <c r="P276" s="57">
        <v>50</v>
      </c>
      <c r="Q276" s="57">
        <v>40</v>
      </c>
      <c r="R276" s="57">
        <v>60</v>
      </c>
      <c r="S276" s="57">
        <v>5</v>
      </c>
      <c r="T276" s="57"/>
      <c r="U276" s="57"/>
      <c r="V276" s="57"/>
      <c r="W276" s="1">
        <f>SUM(X276:BD276)*(num_weapons_base+num_weapons_mod*COUNT(X276:BD276))</f>
        <v>510.46222438870825</v>
      </c>
      <c r="X276" s="60">
        <f aca="true" t="shared" si="85" ref="X276:AI276">VLOOKUP(X275,weapon,2,FALSE)</f>
        <v>62.59679999999999</v>
      </c>
      <c r="Y276" s="60">
        <f t="shared" si="85"/>
        <v>62.59679999999999</v>
      </c>
      <c r="Z276" s="60">
        <f t="shared" si="85"/>
        <v>44.68782934131737</v>
      </c>
      <c r="AA276" s="60">
        <f t="shared" si="85"/>
        <v>44.68782934131737</v>
      </c>
      <c r="AB276" s="60">
        <f t="shared" si="85"/>
        <v>15.613714285714284</v>
      </c>
      <c r="AC276" s="60">
        <f t="shared" si="85"/>
        <v>15.613714285714284</v>
      </c>
      <c r="AD276" s="60">
        <f t="shared" si="85"/>
        <v>15.613714285714284</v>
      </c>
      <c r="AE276" s="60">
        <f t="shared" si="85"/>
        <v>15.613714285714284</v>
      </c>
      <c r="AF276" s="60">
        <f t="shared" si="85"/>
        <v>19.365885000000006</v>
      </c>
      <c r="AG276" s="60">
        <f t="shared" si="85"/>
        <v>19.365885000000006</v>
      </c>
      <c r="AH276" s="60">
        <f t="shared" si="85"/>
        <v>19.365885000000006</v>
      </c>
      <c r="AI276" s="60">
        <f t="shared" si="85"/>
        <v>19.365885000000006</v>
      </c>
      <c r="AJ276" s="59"/>
      <c r="AK276" s="59"/>
      <c r="AL276" s="59"/>
      <c r="AM276" s="59"/>
      <c r="AN276" s="59"/>
      <c r="AO276" s="59"/>
      <c r="AP276" s="59"/>
      <c r="AQ276" s="59"/>
      <c r="AR276" s="59"/>
      <c r="AS276" s="59"/>
      <c r="AT276" s="59"/>
      <c r="AU276" s="59"/>
      <c r="AV276" s="59"/>
      <c r="AW276" s="59"/>
      <c r="AX276" s="59"/>
      <c r="AY276" s="43"/>
      <c r="AZ276" s="43"/>
      <c r="BA276" s="43"/>
      <c r="BB276" s="43"/>
      <c r="BC276" s="43"/>
      <c r="BD276" s="43"/>
      <c r="BE276" s="43"/>
      <c r="BF276" s="43"/>
      <c r="BG276" s="43"/>
    </row>
    <row r="277" spans="2:59" ht="12.75">
      <c r="B277" s="15"/>
      <c r="C277" s="42"/>
      <c r="D277" s="42"/>
      <c r="E277" s="57"/>
      <c r="F277" s="57"/>
      <c r="G277" s="58"/>
      <c r="H277" s="52"/>
      <c r="I277" s="52"/>
      <c r="J277" s="52"/>
      <c r="K277" s="57"/>
      <c r="L277" s="57"/>
      <c r="M277" s="57"/>
      <c r="N277" s="57"/>
      <c r="O277" s="57"/>
      <c r="P277" s="57"/>
      <c r="Q277" s="57"/>
      <c r="R277" s="57"/>
      <c r="S277" s="57"/>
      <c r="T277" s="57"/>
      <c r="U277" s="57"/>
      <c r="V277" s="57"/>
      <c r="W277" s="1"/>
      <c r="X277" s="43"/>
      <c r="Y277" s="43"/>
      <c r="Z277" s="43"/>
      <c r="AA277" s="43"/>
      <c r="AB277" s="43"/>
      <c r="AC277" s="43"/>
      <c r="AD277" s="43"/>
      <c r="AE277" s="43"/>
      <c r="AF277" s="43"/>
      <c r="AG277" s="43"/>
      <c r="AH277" s="43"/>
      <c r="AI277" s="43" t="s">
        <v>306</v>
      </c>
      <c r="AJ277" s="59"/>
      <c r="AK277" s="59"/>
      <c r="AL277" s="59"/>
      <c r="AM277" s="59"/>
      <c r="AN277" s="59"/>
      <c r="AO277" s="59"/>
      <c r="AP277" s="59"/>
      <c r="AQ277" s="59"/>
      <c r="AR277" s="59"/>
      <c r="AS277" s="59"/>
      <c r="AT277" s="59"/>
      <c r="AU277" s="59"/>
      <c r="AV277" s="59"/>
      <c r="AW277" s="59"/>
      <c r="AX277" s="59"/>
      <c r="AY277" s="43"/>
      <c r="AZ277" s="43"/>
      <c r="BA277" s="43"/>
      <c r="BB277" s="43"/>
      <c r="BC277" s="43"/>
      <c r="BD277" s="43"/>
      <c r="BE277" s="43"/>
      <c r="BF277" s="43"/>
      <c r="BG277" s="43"/>
    </row>
    <row r="278" spans="2:59" ht="12.75">
      <c r="B278" s="12" t="s">
        <v>878</v>
      </c>
      <c r="C278" s="1">
        <f>E278*(VLOOKUP(D278,Race,2,FALSE)*(N278*init_bonus+O278+P278*front+Q278*Back+R278+S278*armour+SUM(T278:V278))*(Thrust_base+(I278/J278)/Thrust_div)*POWER(W278,Weapon_power))/(POWER(signature,(L278-M278)))*IF(K278="Y",gravitic,1)*IF(H278="Y",agile,1)/divisor</f>
        <v>0</v>
      </c>
      <c r="D278" s="1" t="s">
        <v>19</v>
      </c>
      <c r="E278" s="57">
        <v>1</v>
      </c>
      <c r="F278" s="57">
        <v>6</v>
      </c>
      <c r="G278" s="58"/>
      <c r="H278" s="5" t="s">
        <v>21</v>
      </c>
      <c r="I278" s="5">
        <v>8</v>
      </c>
      <c r="J278" s="5">
        <v>4</v>
      </c>
      <c r="K278" s="57" t="s">
        <v>2</v>
      </c>
      <c r="L278" s="57">
        <v>17</v>
      </c>
      <c r="M278" s="57">
        <v>14</v>
      </c>
      <c r="N278" s="57">
        <v>0</v>
      </c>
      <c r="O278" s="57">
        <v>200</v>
      </c>
      <c r="P278" s="57">
        <v>100</v>
      </c>
      <c r="Q278" s="57">
        <v>100</v>
      </c>
      <c r="R278" s="57">
        <v>200</v>
      </c>
      <c r="S278" s="57">
        <v>6</v>
      </c>
      <c r="T278" s="57"/>
      <c r="U278" s="57"/>
      <c r="V278" s="57"/>
      <c r="W278" s="1">
        <f>SUM(X278:BD278)*(num_weapons_base+num_weapons_mod*COUNT(X278:BD278))</f>
        <v>0</v>
      </c>
      <c r="X278" s="60"/>
      <c r="Y278" s="60"/>
      <c r="Z278" s="60"/>
      <c r="AA278" s="60"/>
      <c r="AB278" s="60"/>
      <c r="AC278" s="60"/>
      <c r="AD278" s="60"/>
      <c r="AE278" s="60"/>
      <c r="AF278" s="60"/>
      <c r="AG278" s="60"/>
      <c r="AH278" s="60"/>
      <c r="AI278" s="60"/>
      <c r="AJ278" s="59"/>
      <c r="AK278" s="59"/>
      <c r="AL278" s="59"/>
      <c r="AM278" s="59"/>
      <c r="AN278" s="59"/>
      <c r="AO278" s="59"/>
      <c r="AP278" s="59"/>
      <c r="AQ278" s="59"/>
      <c r="AR278" s="59"/>
      <c r="AS278" s="59"/>
      <c r="AT278" s="59"/>
      <c r="AU278" s="59"/>
      <c r="AV278" s="59"/>
      <c r="AW278" s="59"/>
      <c r="AX278" s="59"/>
      <c r="AY278" s="43"/>
      <c r="AZ278" s="43"/>
      <c r="BA278" s="43"/>
      <c r="BB278" s="43"/>
      <c r="BC278" s="43"/>
      <c r="BD278" s="43"/>
      <c r="BE278" s="43"/>
      <c r="BF278" s="43"/>
      <c r="BG278" s="43"/>
    </row>
    <row r="279" spans="1:59" s="191" customFormat="1" ht="12.75">
      <c r="A279" s="189" t="s">
        <v>932</v>
      </c>
      <c r="C279" s="42"/>
      <c r="D279" s="192"/>
      <c r="W279" s="190"/>
      <c r="BE279" s="196"/>
      <c r="BF279" s="196"/>
      <c r="BG279" s="196"/>
    </row>
    <row r="280" spans="3:23" s="191" customFormat="1" ht="12.75">
      <c r="C280" s="1" t="e">
        <f>E280*(VLOOKUP(D280,Race,2,FALSE)*(N280*init_bonus+O280+P280*front+Q280*Back+R280+S280*armour+SUM(T280:V280))*(Thrust_base+(I280/J280)/Thrust_div)*POWER(W280,Weapon_power))/(POWER(signature,(L280-M280)))*IF(K280="Y",gravitic,1)*IF(H280="Y",agile,1)/divisor</f>
        <v>#N/A</v>
      </c>
      <c r="D280" s="198"/>
      <c r="W280" s="190">
        <f>SUM(X280:BD280)*(num_weapons_base+num_weapons_mod*COUNT(X280:BD280))</f>
        <v>0</v>
      </c>
    </row>
    <row r="281" spans="1:59" s="191" customFormat="1" ht="12.75">
      <c r="A281" s="141"/>
      <c r="B281" s="219"/>
      <c r="C281" s="42"/>
      <c r="D281" s="214"/>
      <c r="E281" s="136"/>
      <c r="F281" s="136"/>
      <c r="G281" s="215"/>
      <c r="H281" s="55"/>
      <c r="I281" s="55"/>
      <c r="J281" s="55"/>
      <c r="K281" s="136"/>
      <c r="L281" s="136"/>
      <c r="M281" s="136"/>
      <c r="N281" s="136"/>
      <c r="O281" s="136"/>
      <c r="P281" s="136"/>
      <c r="Q281" s="136"/>
      <c r="R281" s="136"/>
      <c r="S281" s="136"/>
      <c r="T281" s="136"/>
      <c r="U281" s="136"/>
      <c r="V281" s="136"/>
      <c r="W281" s="216"/>
      <c r="X281" s="43" t="s">
        <v>368</v>
      </c>
      <c r="Y281" s="43" t="s">
        <v>368</v>
      </c>
      <c r="Z281" s="43" t="s">
        <v>368</v>
      </c>
      <c r="AA281" s="43" t="s">
        <v>368</v>
      </c>
      <c r="AB281" s="43" t="s">
        <v>296</v>
      </c>
      <c r="AC281" s="43" t="s">
        <v>296</v>
      </c>
      <c r="AD281" s="43" t="s">
        <v>296</v>
      </c>
      <c r="AE281" s="43" t="s">
        <v>296</v>
      </c>
      <c r="AF281" s="59"/>
      <c r="AG281" s="59"/>
      <c r="AH281" s="59"/>
      <c r="AI281" s="59"/>
      <c r="AJ281" s="59"/>
      <c r="AK281" s="59"/>
      <c r="AL281" s="59"/>
      <c r="AM281" s="59"/>
      <c r="AN281" s="59"/>
      <c r="AO281" s="59"/>
      <c r="AP281" s="59"/>
      <c r="AQ281" s="59"/>
      <c r="AR281" s="59"/>
      <c r="AS281" s="59"/>
      <c r="AT281" s="59"/>
      <c r="AU281" s="59"/>
      <c r="AV281" s="59"/>
      <c r="AW281" s="59"/>
      <c r="AX281" s="59"/>
      <c r="AY281" s="43"/>
      <c r="AZ281" s="43"/>
      <c r="BA281" s="43"/>
      <c r="BB281" s="43"/>
      <c r="BC281" s="43"/>
      <c r="BD281" s="43"/>
      <c r="BE281" s="43"/>
      <c r="BF281" s="43"/>
      <c r="BG281" s="43"/>
    </row>
    <row r="282" spans="2:59" ht="12.75">
      <c r="B282" t="s">
        <v>933</v>
      </c>
      <c r="C282" s="1" t="e">
        <f>E282*(VLOOKUP(D282,Race,2,FALSE)*(N282*init_bonus+O282+P282*front+Q282*Back+R282+S282*armour+SUM(T282:V282))*(Thrust_base+(I282/J282)/Thrust_div)*POWER(W282,Weapon_power))/(POWER(signature,(L282-M282)))*IF(K282="Y",gravitic,1)*IF(H282="Y",agile,1)/divisor</f>
        <v>#N/A</v>
      </c>
      <c r="D282" s="1" t="s">
        <v>945</v>
      </c>
      <c r="E282" s="57">
        <v>1</v>
      </c>
      <c r="F282" s="57">
        <v>0</v>
      </c>
      <c r="G282" s="58">
        <v>0</v>
      </c>
      <c r="H282" s="5" t="s">
        <v>21</v>
      </c>
      <c r="I282" s="5">
        <v>8</v>
      </c>
      <c r="J282" s="5">
        <v>3</v>
      </c>
      <c r="K282" s="57" t="s">
        <v>21</v>
      </c>
      <c r="L282" s="57">
        <v>10</v>
      </c>
      <c r="M282" s="57">
        <v>6</v>
      </c>
      <c r="N282" s="57">
        <v>6</v>
      </c>
      <c r="O282" s="57">
        <v>50</v>
      </c>
      <c r="P282" s="57">
        <v>40</v>
      </c>
      <c r="Q282" s="57">
        <v>40</v>
      </c>
      <c r="R282" s="57">
        <v>0</v>
      </c>
      <c r="S282" s="57">
        <v>2.3</v>
      </c>
      <c r="T282" s="57"/>
      <c r="U282" s="57"/>
      <c r="V282" s="57"/>
      <c r="W282" s="1">
        <f>SUM(X282:BD282)*(num_weapons_base+num_weapons_mod*COUNT(X282:BD282))</f>
        <v>153.4200685714286</v>
      </c>
      <c r="X282" s="60">
        <f aca="true" t="shared" si="86" ref="X282:AE282">VLOOKUP(X281,weapon,2,FALSE)</f>
        <v>20.592000000000006</v>
      </c>
      <c r="Y282" s="60">
        <f t="shared" si="86"/>
        <v>20.592000000000006</v>
      </c>
      <c r="Z282" s="60">
        <f t="shared" si="86"/>
        <v>20.592000000000006</v>
      </c>
      <c r="AA282" s="60">
        <f t="shared" si="86"/>
        <v>20.592000000000006</v>
      </c>
      <c r="AB282" s="60">
        <f t="shared" si="86"/>
        <v>9.372857142857145</v>
      </c>
      <c r="AC282" s="60">
        <f t="shared" si="86"/>
        <v>9.372857142857145</v>
      </c>
      <c r="AD282" s="60">
        <f t="shared" si="86"/>
        <v>9.372857142857145</v>
      </c>
      <c r="AE282" s="60">
        <f t="shared" si="86"/>
        <v>9.372857142857145</v>
      </c>
      <c r="AF282" s="60"/>
      <c r="AG282" s="60"/>
      <c r="AH282" s="60"/>
      <c r="AI282" s="60"/>
      <c r="AJ282" s="59"/>
      <c r="AK282" s="59"/>
      <c r="AL282" s="59"/>
      <c r="AM282" s="59"/>
      <c r="AN282" s="59"/>
      <c r="AO282" s="59"/>
      <c r="AP282" s="59"/>
      <c r="AQ282" s="59"/>
      <c r="AR282" s="59"/>
      <c r="AS282" s="59"/>
      <c r="AT282" s="59"/>
      <c r="AU282" s="59"/>
      <c r="AV282" s="59"/>
      <c r="AW282" s="59"/>
      <c r="AX282" s="59"/>
      <c r="AY282" s="43"/>
      <c r="AZ282" s="43"/>
      <c r="BA282" s="43"/>
      <c r="BB282" s="43"/>
      <c r="BC282" s="43"/>
      <c r="BD282" s="43"/>
      <c r="BE282" s="43"/>
      <c r="BF282" s="43"/>
      <c r="BG282" s="43"/>
    </row>
    <row r="283" spans="3:23" ht="12.75">
      <c r="C283" s="42"/>
      <c r="D283" s="42"/>
      <c r="W283" s="1"/>
    </row>
    <row r="284" spans="3:23" ht="12.75">
      <c r="C284" s="1" t="e">
        <f>E284*(VLOOKUP(D284,Race,2,FALSE)*(N284*init_bonus+O284+P284*front+Q284*Back+R284+S284*armour+SUM(T284:V284))*(Thrust_base+(I284/J284)/Thrust_div)*POWER(W284,Weapon_power))/(POWER(signature,(L284-M284)))*IF(K284="Y",gravitic,1)*IF(H284="Y",agile,1)/divisor</f>
        <v>#N/A</v>
      </c>
      <c r="D284" s="1"/>
      <c r="W284" s="1">
        <f>SUM(X284:BD284)*(num_weapons_base+num_weapons_mod*COUNT(X284:BD284))</f>
        <v>0</v>
      </c>
    </row>
    <row r="285" spans="3:4" ht="12.75">
      <c r="C285" s="42"/>
      <c r="D285" s="42"/>
    </row>
    <row r="286" spans="3:4" ht="12.75">
      <c r="C286" s="1" t="e">
        <f>E286*(VLOOKUP(D286,Race,2,FALSE)*(N286*init_bonus+O286+P286*front+Q286*Back+R286+S286*armour+SUM(T286:V286))*(Thrust_base+(I286/J286)/Thrust_div)*POWER(W286,Weapon_power))/(POWER(signature,(L286-M286)))*IF(K286="Y",gravitic,1)*IF(H286="Y",agile,1)/divisor</f>
        <v>#N/A</v>
      </c>
      <c r="D286" s="1"/>
    </row>
    <row r="287" spans="3:4" ht="12.75">
      <c r="C287" s="42"/>
      <c r="D287" s="42"/>
    </row>
    <row r="288" spans="3:4" ht="12.75">
      <c r="C288" s="1"/>
      <c r="D288" s="1"/>
    </row>
    <row r="289" spans="3:4" ht="12.75">
      <c r="C289" s="42"/>
      <c r="D289" s="42"/>
    </row>
    <row r="290" spans="3:4" ht="12.75">
      <c r="C290" s="1"/>
      <c r="D290" s="1"/>
    </row>
    <row r="291" spans="3:4" ht="12.75">
      <c r="C291" s="42"/>
      <c r="D291" s="42"/>
    </row>
    <row r="292" spans="3:4" ht="12.75">
      <c r="C292" s="1"/>
      <c r="D292" s="1"/>
    </row>
    <row r="293" spans="3:4" ht="12.75">
      <c r="C293" s="42"/>
      <c r="D293" s="42"/>
    </row>
    <row r="294" spans="3:4" ht="12.75">
      <c r="C294" s="1"/>
      <c r="D294" s="1"/>
    </row>
    <row r="295" spans="3:4" ht="12.75">
      <c r="C295" s="42"/>
      <c r="D295" s="42"/>
    </row>
    <row r="296" ht="12.75">
      <c r="D296" s="1"/>
    </row>
    <row r="297" ht="12.75">
      <c r="D297" s="42"/>
    </row>
    <row r="298" ht="12.75">
      <c r="D298" s="1"/>
    </row>
    <row r="299" ht="12.75">
      <c r="D299" s="42"/>
    </row>
    <row r="300" ht="12.75">
      <c r="D300" s="1"/>
    </row>
    <row r="301" ht="12.75">
      <c r="D301" s="42"/>
    </row>
    <row r="302" ht="12.75">
      <c r="D302" s="1"/>
    </row>
    <row r="303" ht="12.75">
      <c r="D303" s="42"/>
    </row>
    <row r="304" ht="12.75">
      <c r="D304" s="1"/>
    </row>
    <row r="305" ht="12.75">
      <c r="D305" s="42"/>
    </row>
    <row r="306" ht="12.75">
      <c r="D306" s="1"/>
    </row>
    <row r="307" ht="12.75">
      <c r="D307" s="42"/>
    </row>
    <row r="308" ht="12.75">
      <c r="D308" s="1"/>
    </row>
    <row r="309" ht="12.75">
      <c r="D309" s="42"/>
    </row>
    <row r="310" ht="12.75">
      <c r="D310" s="1"/>
    </row>
  </sheetData>
  <conditionalFormatting sqref="C294 C292 C288 C290">
    <cfRule type="expression" priority="1" dxfId="0" stopIfTrue="1">
      <formula>D288=""</formula>
    </cfRule>
  </conditionalFormatting>
  <conditionalFormatting sqref="C295 C289 C291 C293">
    <cfRule type="expression" priority="2" dxfId="3" stopIfTrue="1">
      <formula>B288=""</formula>
    </cfRule>
  </conditionalFormatting>
  <conditionalFormatting sqref="C286 C12 C14 C16 C18 C20 C22 C24 C26 C28 C30 C32 C34 C36 C38 C40 C42 C44 C46 C48 C50 C52 C54 C56 C58 C60 C62 C64 C66 C68 C70 C72 C74 C76 C78 C80 C82 C84 C86 C88 C90 C92 C94 C96 C98 C100 C102 C104 C106 C108 C110 C112 C114 C116 C118 C120 C122 C124 C126 C128 C130 C132 C134 C136 C138 C240 C146 C148 C150 C152 C154 C156 C194 C196 C198 C200 C202 C204 C206 C208 C210 C246 C250 C252 C254 C256 C258 C260 C262 C172 C174 C176 C178 C180 C182 C184 C186 C218 C220 C222 C224 C226 C228 C212 C214 C216 C158 C160 C162 C164 C166 C168 C170 C188 C190 C192 C230 C232 C234 C236 C244 C264 C266 C268 C270 C272 C274 C276 C278 C280 C282 C284 C8 C10 C248 C238 C140 C142 C144">
    <cfRule type="expression" priority="3" dxfId="0" stopIfTrue="1">
      <formula>A8&lt;&gt;""</formula>
    </cfRule>
    <cfRule type="expression" priority="4" dxfId="0" stopIfTrue="1">
      <formula>A7&lt;&gt;""</formula>
    </cfRule>
  </conditionalFormatting>
  <conditionalFormatting sqref="C7 C245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7 C149 C151 C153 C155 C199 C201 C203 C205 C207 C209 C247 C253 C255 C257 C259 C171 C173 C175 C177 C179 C181 C183 C185 C217 C219 C221 C223 C225 C227 C211 C213 C215 C261 C157 C159 C161 C163 C165 C167 C169 C187 C189 C191 C193 C195 C197 C229 C231 C233 C235 C9 C263 C265 C267 C269 C271 C273 C275 C277 C279 C281 C283 C285 C287 C237 C249 C239 C141 C143">
    <cfRule type="expression" priority="5" dxfId="0" stopIfTrue="1">
      <formula>A7&lt;&gt;""</formula>
    </cfRule>
    <cfRule type="expression" priority="6" dxfId="4" stopIfTrue="1">
      <formula>B5&lt;&gt;""</formula>
    </cfRule>
  </conditionalFormatting>
  <conditionalFormatting sqref="C11 C251 C241">
    <cfRule type="expression" priority="7" dxfId="0" stopIfTrue="1">
      <formula>A11&lt;&gt;""</formula>
    </cfRule>
    <cfRule type="expression" priority="8" dxfId="4" stopIfTrue="1">
      <formula>B7&lt;&gt;""</formula>
    </cfRule>
  </conditionalFormatting>
  <conditionalFormatting sqref="C242">
    <cfRule type="expression" priority="9" dxfId="0" stopIfTrue="1">
      <formula>A242&lt;&gt;""</formula>
    </cfRule>
    <cfRule type="expression" priority="10" dxfId="0" stopIfTrue="1">
      <formula>A237&lt;&gt;""</formula>
    </cfRule>
  </conditionalFormatting>
  <conditionalFormatting sqref="C243 C145">
    <cfRule type="expression" priority="11" dxfId="0" stopIfTrue="1">
      <formula>A145&lt;&gt;""</formula>
    </cfRule>
    <cfRule type="expression" priority="12" dxfId="4" stopIfTrue="1">
      <formula>B139&lt;&gt;""</formula>
    </cfRule>
  </conditionalFormatting>
  <dataValidations count="2">
    <dataValidation type="list" allowBlank="1" showInputMessage="1" showErrorMessage="1" sqref="D246 D150 D250 D260 D282 D284 D286 D288 D290 D292 D294 D296 D298 D300 D302 D304 D306 D308 D310 D258 D252 D254 D266 D270 D262 D232 D228 D234 D236 D242 D244 D272 D274 D276 D278 D216 D220 D226 D202 D210 D212 D222 D224 D204 D208 D206 D196 D194 D192 D198 D190 D200 D164 D136 D56 D42 D46 D20 D22 D24 D26 D28 D30 D32 D34 D36 D38 D40 D74 D78 D62 D60 D58 D12 D14 D16 D18 D48 D50 D52 D54 D72 D118 D88 D90 D92 D94 D96 D98 D100 D102 D104 D106 D108 D110 D112 D114 D70 D218 D124">
      <formula1>$BH$11:$BH$20</formula1>
    </dataValidation>
    <dataValidation type="list" allowBlank="1" showInputMessage="1" showErrorMessage="1" sqref="D126 D128 D130 D132 D160 D138 D240 D146 D148 D152 D154 D68 D188 D166 D168 D170 D172 D174 D176 D178 D180 D182 D184 D66 D64 D80 D82 D84 D86 D120 D122 D162 D158 D134 D8 D10 D248 D238 D140 D142 D144">
      <formula1>$BH$11:$BH$20</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AC164"/>
  <sheetViews>
    <sheetView tabSelected="1" workbookViewId="0" topLeftCell="A1">
      <pane xSplit="3" ySplit="2" topLeftCell="D66" activePane="bottomRight" state="frozen"/>
      <selection pane="topLeft" activeCell="A1" sqref="A1"/>
      <selection pane="topRight" activeCell="D1" sqref="D1"/>
      <selection pane="bottomLeft" activeCell="A3" sqref="A3"/>
      <selection pane="bottomRight" activeCell="C84" sqref="C84"/>
    </sheetView>
  </sheetViews>
  <sheetFormatPr defaultColWidth="9.140625" defaultRowHeight="12.75"/>
  <cols>
    <col min="1" max="1" width="7.8515625" style="0" customWidth="1"/>
    <col min="2" max="2" width="16.00390625" style="0" customWidth="1"/>
    <col min="6" max="6" width="0" style="0" hidden="1" customWidth="1"/>
  </cols>
  <sheetData>
    <row r="1" spans="1:29" ht="25.5">
      <c r="A1" s="243" t="s">
        <v>589</v>
      </c>
      <c r="B1" s="243" t="s">
        <v>477</v>
      </c>
      <c r="C1" s="67" t="s">
        <v>590</v>
      </c>
      <c r="D1" s="243" t="s">
        <v>591</v>
      </c>
      <c r="E1" s="66" t="s">
        <v>592</v>
      </c>
      <c r="F1" s="245" t="s">
        <v>881</v>
      </c>
      <c r="G1" s="69" t="s">
        <v>593</v>
      </c>
      <c r="H1" s="69" t="s">
        <v>213</v>
      </c>
      <c r="I1" s="69" t="s">
        <v>16</v>
      </c>
      <c r="J1" s="69" t="s">
        <v>594</v>
      </c>
      <c r="K1" s="69" t="s">
        <v>595</v>
      </c>
      <c r="L1" s="69" t="s">
        <v>155</v>
      </c>
      <c r="M1" s="69" t="s">
        <v>596</v>
      </c>
      <c r="N1" s="68" t="s">
        <v>1010</v>
      </c>
      <c r="O1" s="68" t="s">
        <v>597</v>
      </c>
      <c r="P1" s="68" t="s">
        <v>598</v>
      </c>
      <c r="Q1" s="68" t="s">
        <v>599</v>
      </c>
      <c r="R1" s="68" t="s">
        <v>600</v>
      </c>
      <c r="S1" s="70" t="s">
        <v>601</v>
      </c>
      <c r="T1" s="70" t="s">
        <v>602</v>
      </c>
      <c r="U1" s="245" t="s">
        <v>603</v>
      </c>
      <c r="V1" s="245" t="s">
        <v>480</v>
      </c>
      <c r="W1" s="247" t="s">
        <v>604</v>
      </c>
      <c r="X1" s="244" t="s">
        <v>605</v>
      </c>
      <c r="Y1" s="71" t="s">
        <v>606</v>
      </c>
      <c r="Z1" s="71" t="s">
        <v>468</v>
      </c>
      <c r="AA1" s="74" t="s">
        <v>607</v>
      </c>
      <c r="AB1" s="245" t="s">
        <v>608</v>
      </c>
      <c r="AC1" s="246" t="s">
        <v>609</v>
      </c>
    </row>
    <row r="2" spans="1:29" ht="12.75">
      <c r="A2" s="243"/>
      <c r="B2" s="243"/>
      <c r="C2" s="67"/>
      <c r="D2" s="243"/>
      <c r="E2" s="66"/>
      <c r="F2" s="245"/>
      <c r="G2" s="73">
        <v>8</v>
      </c>
      <c r="H2" s="73">
        <v>6</v>
      </c>
      <c r="I2" s="73">
        <v>4</v>
      </c>
      <c r="J2" s="73">
        <v>2</v>
      </c>
      <c r="K2" s="73">
        <v>1</v>
      </c>
      <c r="L2" s="75">
        <v>0.2</v>
      </c>
      <c r="M2" s="73">
        <v>5</v>
      </c>
      <c r="N2" s="71">
        <v>5</v>
      </c>
      <c r="O2" s="71">
        <v>0</v>
      </c>
      <c r="P2" s="71">
        <v>5</v>
      </c>
      <c r="Q2" s="71"/>
      <c r="R2" s="71"/>
      <c r="S2" s="76"/>
      <c r="T2" s="70"/>
      <c r="U2" s="245"/>
      <c r="V2" s="245"/>
      <c r="W2" s="247"/>
      <c r="X2" s="244"/>
      <c r="Y2" s="71" t="s">
        <v>610</v>
      </c>
      <c r="Z2" s="71"/>
      <c r="AA2" s="77"/>
      <c r="AB2" s="245"/>
      <c r="AC2" s="246"/>
    </row>
    <row r="3" spans="1:29" ht="12.75">
      <c r="A3" s="78" t="s">
        <v>494</v>
      </c>
      <c r="B3" s="79"/>
      <c r="C3" s="80"/>
      <c r="D3" s="79"/>
      <c r="E3" s="79"/>
      <c r="F3" s="81"/>
      <c r="G3" s="82"/>
      <c r="H3" s="82"/>
      <c r="I3" s="82"/>
      <c r="J3" s="82"/>
      <c r="K3" s="82"/>
      <c r="L3" s="82"/>
      <c r="M3" s="82"/>
      <c r="N3" s="81"/>
      <c r="O3" s="81"/>
      <c r="P3" s="81"/>
      <c r="Q3" s="81"/>
      <c r="R3" s="81"/>
      <c r="S3" s="81"/>
      <c r="T3" s="81"/>
      <c r="U3" s="81"/>
      <c r="V3" s="81"/>
      <c r="W3" s="84"/>
      <c r="X3" s="85"/>
      <c r="Y3" s="83"/>
      <c r="Z3" s="83"/>
      <c r="AA3" s="85"/>
      <c r="AB3" s="81"/>
      <c r="AC3" s="86"/>
    </row>
    <row r="4" spans="1:29" ht="12.75">
      <c r="A4" s="87"/>
      <c r="B4" s="64" t="s">
        <v>495</v>
      </c>
      <c r="C4" s="88">
        <f aca="true" t="shared" si="0" ref="C4:C30">AA4</f>
        <v>6</v>
      </c>
      <c r="D4" s="64" t="s">
        <v>611</v>
      </c>
      <c r="E4" s="64" t="str">
        <f aca="true" t="shared" si="1" ref="E4:E22">VLOOKUP(S4,size,3)</f>
        <v>HCV</v>
      </c>
      <c r="F4" s="90" t="s">
        <v>612</v>
      </c>
      <c r="G4" s="89">
        <v>0</v>
      </c>
      <c r="H4" s="89">
        <v>0</v>
      </c>
      <c r="I4" s="89">
        <v>0</v>
      </c>
      <c r="J4" s="89">
        <v>6</v>
      </c>
      <c r="K4" s="89">
        <v>4</v>
      </c>
      <c r="L4" s="89">
        <v>2</v>
      </c>
      <c r="M4" s="89"/>
      <c r="N4" s="90"/>
      <c r="O4" s="90"/>
      <c r="P4" s="90"/>
      <c r="Q4" s="90"/>
      <c r="R4" s="90"/>
      <c r="S4" s="91">
        <f>ROUND(G$2*G4+H$2*H4+I$2*I4+J$2*J4+K$2*K4+L$2*L4+M$2*M4+IF(N4="Y",N$2,0)+IF(O4="Y",O$2,0)+P$2*P4+R4,0)</f>
        <v>16</v>
      </c>
      <c r="T4" s="91">
        <f aca="true" t="shared" si="2" ref="T4:T24">VLOOKUP(S4,size,2)</f>
        <v>10</v>
      </c>
      <c r="U4" s="90">
        <v>2</v>
      </c>
      <c r="V4" s="90">
        <v>8</v>
      </c>
      <c r="W4" s="93">
        <f>V4/U4</f>
        <v>4</v>
      </c>
      <c r="X4" s="94">
        <f aca="true" t="shared" si="3" ref="X4:X80">-ROUND(V4/U4/2,0)</f>
        <v>-2</v>
      </c>
      <c r="Y4" s="92">
        <v>-2</v>
      </c>
      <c r="Z4" s="92"/>
      <c r="AA4" s="95">
        <f>INT(T4+X4+Y4+Z4)</f>
        <v>6</v>
      </c>
      <c r="AB4" s="90">
        <v>6</v>
      </c>
      <c r="AC4" s="96">
        <v>4</v>
      </c>
    </row>
    <row r="5" spans="1:29" ht="12.75">
      <c r="A5" s="87"/>
      <c r="B5" s="64" t="s">
        <v>613</v>
      </c>
      <c r="C5" s="88">
        <f t="shared" si="0"/>
        <v>14</v>
      </c>
      <c r="D5" s="64" t="s">
        <v>614</v>
      </c>
      <c r="E5" s="64" t="str">
        <f t="shared" si="1"/>
        <v>Carrier</v>
      </c>
      <c r="F5" s="90" t="s">
        <v>615</v>
      </c>
      <c r="G5" s="89"/>
      <c r="H5" s="89"/>
      <c r="I5" s="89">
        <v>0</v>
      </c>
      <c r="J5" s="89">
        <v>3</v>
      </c>
      <c r="K5" s="89">
        <v>0</v>
      </c>
      <c r="L5" s="89">
        <v>14</v>
      </c>
      <c r="M5" s="89">
        <v>8</v>
      </c>
      <c r="N5" s="90" t="s">
        <v>2</v>
      </c>
      <c r="O5" s="90"/>
      <c r="P5" s="90"/>
      <c r="Q5" s="90"/>
      <c r="R5" s="90"/>
      <c r="S5" s="91">
        <f>ROUND(G$2*G5+H$2*H5+I$2*I5+J$2*J5+K$2*K5+L$2*L5+M$2*M5+IF(N5="Y",N$2,0)+IF(O5="Y",O$2,0)+P$2*P5+R5,0)</f>
        <v>54</v>
      </c>
      <c r="T5" s="91">
        <f t="shared" si="2"/>
        <v>17</v>
      </c>
      <c r="U5" s="90">
        <v>3</v>
      </c>
      <c r="V5" s="90">
        <v>8</v>
      </c>
      <c r="W5" s="93">
        <f>V5/U5</f>
        <v>2.6666666666666665</v>
      </c>
      <c r="X5" s="94">
        <f t="shared" si="3"/>
        <v>-1</v>
      </c>
      <c r="Y5" s="92">
        <v>-2</v>
      </c>
      <c r="Z5" s="92"/>
      <c r="AA5" s="95">
        <f aca="true" t="shared" si="4" ref="AA5:AA24">ROUND(T5+X5+Y5+Z5,0)</f>
        <v>14</v>
      </c>
      <c r="AB5" s="90">
        <v>4</v>
      </c>
      <c r="AC5" s="96">
        <v>4</v>
      </c>
    </row>
    <row r="6" spans="1:29" ht="12.75">
      <c r="A6" s="87"/>
      <c r="B6" s="64" t="s">
        <v>616</v>
      </c>
      <c r="C6" s="88">
        <f t="shared" si="0"/>
        <v>15</v>
      </c>
      <c r="D6" s="64" t="s">
        <v>617</v>
      </c>
      <c r="E6" s="64" t="str">
        <f t="shared" si="1"/>
        <v>Carrier</v>
      </c>
      <c r="F6" s="90" t="s">
        <v>618</v>
      </c>
      <c r="G6" s="89"/>
      <c r="H6" s="89"/>
      <c r="I6" s="89">
        <v>4</v>
      </c>
      <c r="J6" s="89">
        <v>6</v>
      </c>
      <c r="K6" s="89">
        <v>4</v>
      </c>
      <c r="L6" s="89">
        <v>12</v>
      </c>
      <c r="M6" s="89">
        <v>8</v>
      </c>
      <c r="N6" s="90"/>
      <c r="O6" s="90"/>
      <c r="P6" s="90"/>
      <c r="Q6" s="90"/>
      <c r="R6" s="90"/>
      <c r="S6" s="91">
        <f aca="true" t="shared" si="5" ref="S6:S81">ROUND(G$2*G6+H$2*H6+I$2*I6+J$2*J6+K$2*K6+L$2*L6+M$2*M6+IF(N6="Y",N$2,0)+IF(O6="Y",O$2,0)+P$2*P6+R6,0)</f>
        <v>74</v>
      </c>
      <c r="T6" s="91">
        <f t="shared" si="2"/>
        <v>18</v>
      </c>
      <c r="U6" s="90">
        <v>100</v>
      </c>
      <c r="V6" s="90">
        <v>0</v>
      </c>
      <c r="W6" s="93">
        <f aca="true" t="shared" si="6" ref="W6:W81">V6/U6</f>
        <v>0</v>
      </c>
      <c r="X6" s="94">
        <f t="shared" si="3"/>
        <v>0</v>
      </c>
      <c r="Y6" s="92">
        <v>-3</v>
      </c>
      <c r="Z6" s="92"/>
      <c r="AA6" s="95">
        <f t="shared" si="4"/>
        <v>15</v>
      </c>
      <c r="AB6" s="90">
        <v>5</v>
      </c>
      <c r="AC6" s="96">
        <v>5</v>
      </c>
    </row>
    <row r="7" spans="1:29" ht="12.75">
      <c r="A7" s="87"/>
      <c r="B7" s="64" t="s">
        <v>619</v>
      </c>
      <c r="C7" s="88">
        <f t="shared" si="0"/>
        <v>16</v>
      </c>
      <c r="D7" s="64" t="s">
        <v>614</v>
      </c>
      <c r="E7" s="64" t="str">
        <f t="shared" si="1"/>
        <v>Enormous</v>
      </c>
      <c r="F7" s="90" t="s">
        <v>620</v>
      </c>
      <c r="G7" s="89"/>
      <c r="H7" s="89"/>
      <c r="I7" s="89">
        <v>2</v>
      </c>
      <c r="J7" s="89">
        <v>0</v>
      </c>
      <c r="K7" s="89">
        <v>8</v>
      </c>
      <c r="L7" s="89">
        <v>8</v>
      </c>
      <c r="M7" s="89">
        <v>4</v>
      </c>
      <c r="N7" s="90" t="s">
        <v>2</v>
      </c>
      <c r="O7" s="90" t="s">
        <v>2</v>
      </c>
      <c r="P7" s="90">
        <v>8</v>
      </c>
      <c r="Q7" s="90"/>
      <c r="R7" s="90"/>
      <c r="S7" s="91">
        <f t="shared" si="5"/>
        <v>83</v>
      </c>
      <c r="T7" s="91">
        <f t="shared" si="2"/>
        <v>19</v>
      </c>
      <c r="U7" s="90">
        <v>8</v>
      </c>
      <c r="V7" s="90">
        <v>12</v>
      </c>
      <c r="W7" s="93">
        <f t="shared" si="6"/>
        <v>1.5</v>
      </c>
      <c r="X7" s="94">
        <f t="shared" si="3"/>
        <v>-1</v>
      </c>
      <c r="Y7" s="92">
        <v>-2</v>
      </c>
      <c r="Z7" s="92"/>
      <c r="AA7" s="95">
        <f t="shared" si="4"/>
        <v>16</v>
      </c>
      <c r="AB7" s="90">
        <v>4</v>
      </c>
      <c r="AC7" s="96">
        <v>4</v>
      </c>
    </row>
    <row r="8" spans="1:29" ht="12.75">
      <c r="A8" s="87"/>
      <c r="B8" s="64" t="s">
        <v>496</v>
      </c>
      <c r="C8" s="88">
        <f t="shared" si="0"/>
        <v>7</v>
      </c>
      <c r="D8" s="64" t="s">
        <v>611</v>
      </c>
      <c r="E8" s="64" t="str">
        <f t="shared" si="1"/>
        <v>Capital</v>
      </c>
      <c r="F8" s="90">
        <v>14</v>
      </c>
      <c r="G8" s="89"/>
      <c r="H8" s="89"/>
      <c r="I8" s="89">
        <v>0</v>
      </c>
      <c r="J8" s="89">
        <v>2</v>
      </c>
      <c r="K8" s="89">
        <v>4</v>
      </c>
      <c r="L8" s="89">
        <v>2</v>
      </c>
      <c r="M8" s="89">
        <v>1</v>
      </c>
      <c r="N8" s="90" t="s">
        <v>2</v>
      </c>
      <c r="O8" s="90"/>
      <c r="P8" s="90">
        <v>1</v>
      </c>
      <c r="Q8" s="90"/>
      <c r="R8" s="90"/>
      <c r="S8" s="91">
        <f t="shared" si="5"/>
        <v>23</v>
      </c>
      <c r="T8" s="91">
        <f t="shared" si="2"/>
        <v>12</v>
      </c>
      <c r="U8" s="90">
        <v>2</v>
      </c>
      <c r="V8" s="90">
        <v>10</v>
      </c>
      <c r="W8" s="93">
        <f t="shared" si="6"/>
        <v>5</v>
      </c>
      <c r="X8" s="94">
        <f t="shared" si="3"/>
        <v>-3</v>
      </c>
      <c r="Y8" s="92">
        <v>-2</v>
      </c>
      <c r="Z8" s="92"/>
      <c r="AA8" s="95">
        <f t="shared" si="4"/>
        <v>7</v>
      </c>
      <c r="AB8" s="97">
        <v>38872</v>
      </c>
      <c r="AC8" s="96">
        <v>3</v>
      </c>
    </row>
    <row r="9" spans="1:29" ht="12.75">
      <c r="A9" s="87"/>
      <c r="B9" s="64" t="s">
        <v>497</v>
      </c>
      <c r="C9" s="88">
        <f t="shared" si="0"/>
        <v>12</v>
      </c>
      <c r="D9" s="64" t="s">
        <v>621</v>
      </c>
      <c r="E9" s="64" t="str">
        <f t="shared" si="1"/>
        <v>Capital</v>
      </c>
      <c r="F9" s="90" t="s">
        <v>622</v>
      </c>
      <c r="G9" s="89"/>
      <c r="H9" s="89"/>
      <c r="I9" s="89">
        <v>4</v>
      </c>
      <c r="J9" s="89">
        <v>5</v>
      </c>
      <c r="K9" s="89">
        <v>3</v>
      </c>
      <c r="L9" s="89">
        <v>4</v>
      </c>
      <c r="M9" s="89">
        <v>1</v>
      </c>
      <c r="N9" s="90" t="s">
        <v>2</v>
      </c>
      <c r="O9" s="90"/>
      <c r="P9" s="90"/>
      <c r="Q9" s="90"/>
      <c r="R9" s="90"/>
      <c r="S9" s="91">
        <f t="shared" si="5"/>
        <v>40</v>
      </c>
      <c r="T9" s="91">
        <f t="shared" si="2"/>
        <v>15</v>
      </c>
      <c r="U9" s="90">
        <v>3</v>
      </c>
      <c r="V9" s="90">
        <v>7</v>
      </c>
      <c r="W9" s="93">
        <f t="shared" si="6"/>
        <v>2.3333333333333335</v>
      </c>
      <c r="X9" s="94">
        <f t="shared" si="3"/>
        <v>-1</v>
      </c>
      <c r="Y9" s="92">
        <v>-2</v>
      </c>
      <c r="Z9" s="92"/>
      <c r="AA9" s="95">
        <f t="shared" si="4"/>
        <v>12</v>
      </c>
      <c r="AB9" s="97">
        <v>38812</v>
      </c>
      <c r="AC9" s="98">
        <v>38812</v>
      </c>
    </row>
    <row r="10" spans="1:29" ht="12.75">
      <c r="A10" s="87"/>
      <c r="B10" s="64" t="s">
        <v>498</v>
      </c>
      <c r="C10" s="88">
        <f t="shared" si="0"/>
        <v>14</v>
      </c>
      <c r="D10" s="64" t="s">
        <v>621</v>
      </c>
      <c r="E10" s="64" t="str">
        <f t="shared" si="1"/>
        <v>Carrier</v>
      </c>
      <c r="F10" s="90" t="s">
        <v>623</v>
      </c>
      <c r="G10" s="89"/>
      <c r="H10" s="89"/>
      <c r="I10" s="89">
        <v>0</v>
      </c>
      <c r="J10" s="89">
        <v>16</v>
      </c>
      <c r="K10" s="89">
        <v>0</v>
      </c>
      <c r="L10" s="89">
        <v>4</v>
      </c>
      <c r="M10" s="89">
        <v>4</v>
      </c>
      <c r="N10" s="90" t="s">
        <v>2</v>
      </c>
      <c r="O10" s="90"/>
      <c r="P10" s="90"/>
      <c r="Q10" s="90"/>
      <c r="R10" s="90"/>
      <c r="S10" s="91">
        <f t="shared" si="5"/>
        <v>58</v>
      </c>
      <c r="T10" s="91">
        <f t="shared" si="2"/>
        <v>17</v>
      </c>
      <c r="U10" s="90">
        <v>3</v>
      </c>
      <c r="V10" s="90">
        <v>8</v>
      </c>
      <c r="W10" s="93">
        <f t="shared" si="6"/>
        <v>2.6666666666666665</v>
      </c>
      <c r="X10" s="94">
        <f t="shared" si="3"/>
        <v>-1</v>
      </c>
      <c r="Y10" s="92">
        <v>-2</v>
      </c>
      <c r="Z10" s="92"/>
      <c r="AA10" s="95">
        <f t="shared" si="4"/>
        <v>14</v>
      </c>
      <c r="AB10" s="90">
        <v>6</v>
      </c>
      <c r="AC10" s="96">
        <v>6</v>
      </c>
    </row>
    <row r="11" spans="1:29" ht="12.75">
      <c r="A11" s="87"/>
      <c r="B11" s="64" t="s">
        <v>499</v>
      </c>
      <c r="C11" s="88">
        <f t="shared" si="0"/>
        <v>6</v>
      </c>
      <c r="D11" s="64" t="s">
        <v>611</v>
      </c>
      <c r="E11" s="64" t="str">
        <f t="shared" si="1"/>
        <v>HCV</v>
      </c>
      <c r="F11" s="90">
        <v>15</v>
      </c>
      <c r="G11" s="89"/>
      <c r="H11" s="89"/>
      <c r="I11" s="89">
        <v>0</v>
      </c>
      <c r="J11" s="89">
        <v>8</v>
      </c>
      <c r="K11" s="89">
        <v>0</v>
      </c>
      <c r="L11" s="89">
        <v>2</v>
      </c>
      <c r="M11" s="89">
        <v>0</v>
      </c>
      <c r="N11" s="90"/>
      <c r="O11" s="90"/>
      <c r="P11" s="90"/>
      <c r="Q11" s="90"/>
      <c r="R11" s="90"/>
      <c r="S11" s="91">
        <f t="shared" si="5"/>
        <v>16</v>
      </c>
      <c r="T11" s="91">
        <f t="shared" si="2"/>
        <v>10</v>
      </c>
      <c r="U11" s="90">
        <v>2</v>
      </c>
      <c r="V11" s="90">
        <v>8</v>
      </c>
      <c r="W11" s="93">
        <f t="shared" si="6"/>
        <v>4</v>
      </c>
      <c r="X11" s="94">
        <f t="shared" si="3"/>
        <v>-2</v>
      </c>
      <c r="Y11" s="92">
        <v>-2</v>
      </c>
      <c r="Z11" s="92"/>
      <c r="AA11" s="95">
        <f t="shared" si="4"/>
        <v>6</v>
      </c>
      <c r="AB11" s="90">
        <v>5</v>
      </c>
      <c r="AC11" s="96">
        <v>3</v>
      </c>
    </row>
    <row r="12" spans="1:29" ht="12.75">
      <c r="A12" s="87"/>
      <c r="B12" s="64" t="s">
        <v>624</v>
      </c>
      <c r="C12" s="88">
        <f t="shared" si="0"/>
        <v>13</v>
      </c>
      <c r="D12" s="64" t="s">
        <v>621</v>
      </c>
      <c r="E12" s="64" t="str">
        <f t="shared" si="1"/>
        <v>Carrier</v>
      </c>
      <c r="F12" s="90" t="s">
        <v>625</v>
      </c>
      <c r="G12" s="89"/>
      <c r="H12" s="89"/>
      <c r="I12" s="89">
        <v>4</v>
      </c>
      <c r="J12" s="89">
        <v>0</v>
      </c>
      <c r="K12" s="89">
        <v>16</v>
      </c>
      <c r="L12" s="89">
        <v>6</v>
      </c>
      <c r="M12" s="89">
        <v>4</v>
      </c>
      <c r="N12" s="90" t="s">
        <v>2</v>
      </c>
      <c r="O12" s="90"/>
      <c r="P12" s="90"/>
      <c r="Q12" s="90"/>
      <c r="R12" s="90"/>
      <c r="S12" s="91">
        <f t="shared" si="5"/>
        <v>58</v>
      </c>
      <c r="T12" s="91">
        <f t="shared" si="2"/>
        <v>17</v>
      </c>
      <c r="U12" s="90">
        <v>3</v>
      </c>
      <c r="V12" s="90">
        <v>8</v>
      </c>
      <c r="W12" s="93">
        <f t="shared" si="6"/>
        <v>2.6666666666666665</v>
      </c>
      <c r="X12" s="94">
        <f t="shared" si="3"/>
        <v>-1</v>
      </c>
      <c r="Y12" s="92">
        <v>-3</v>
      </c>
      <c r="Z12" s="92"/>
      <c r="AA12" s="95">
        <f t="shared" si="4"/>
        <v>13</v>
      </c>
      <c r="AB12" s="90">
        <v>6</v>
      </c>
      <c r="AC12" s="96">
        <v>6</v>
      </c>
    </row>
    <row r="13" spans="1:29" ht="12.75">
      <c r="A13" s="87"/>
      <c r="B13" s="64" t="s">
        <v>626</v>
      </c>
      <c r="C13" s="88">
        <f t="shared" si="0"/>
        <v>7</v>
      </c>
      <c r="D13" s="99" t="s">
        <v>611</v>
      </c>
      <c r="E13" s="64" t="str">
        <f t="shared" si="1"/>
        <v>HCV</v>
      </c>
      <c r="F13" s="90" t="s">
        <v>627</v>
      </c>
      <c r="G13" s="89"/>
      <c r="H13" s="89"/>
      <c r="I13" s="89">
        <v>0</v>
      </c>
      <c r="J13" s="89">
        <v>3</v>
      </c>
      <c r="K13" s="89">
        <v>6</v>
      </c>
      <c r="L13" s="89">
        <v>4</v>
      </c>
      <c r="M13" s="89">
        <v>0</v>
      </c>
      <c r="N13" s="90" t="s">
        <v>2</v>
      </c>
      <c r="O13" s="90" t="s">
        <v>2</v>
      </c>
      <c r="P13" s="90"/>
      <c r="Q13" s="90"/>
      <c r="R13" s="90"/>
      <c r="S13" s="91">
        <f t="shared" si="5"/>
        <v>18</v>
      </c>
      <c r="T13" s="91">
        <f t="shared" si="2"/>
        <v>11</v>
      </c>
      <c r="U13" s="90">
        <v>2</v>
      </c>
      <c r="V13" s="90">
        <v>8</v>
      </c>
      <c r="W13" s="93">
        <f t="shared" si="6"/>
        <v>4</v>
      </c>
      <c r="X13" s="94">
        <f t="shared" si="3"/>
        <v>-2</v>
      </c>
      <c r="Y13" s="92">
        <v>-2</v>
      </c>
      <c r="Z13" s="92"/>
      <c r="AA13" s="95">
        <f t="shared" si="4"/>
        <v>7</v>
      </c>
      <c r="AB13" s="97">
        <v>38841</v>
      </c>
      <c r="AC13" s="96">
        <v>3</v>
      </c>
    </row>
    <row r="14" spans="1:29" ht="12.75">
      <c r="A14" s="87"/>
      <c r="B14" s="64" t="s">
        <v>628</v>
      </c>
      <c r="C14" s="88">
        <f t="shared" si="0"/>
        <v>12</v>
      </c>
      <c r="D14" s="64" t="s">
        <v>469</v>
      </c>
      <c r="E14" s="64" t="str">
        <f t="shared" si="1"/>
        <v>Capital</v>
      </c>
      <c r="F14" s="90">
        <v>16</v>
      </c>
      <c r="G14" s="89"/>
      <c r="H14" s="89"/>
      <c r="I14" s="89">
        <v>2</v>
      </c>
      <c r="J14" s="89">
        <v>8</v>
      </c>
      <c r="K14" s="89">
        <v>2</v>
      </c>
      <c r="L14" s="89">
        <v>2</v>
      </c>
      <c r="M14" s="89">
        <v>2</v>
      </c>
      <c r="N14" s="90"/>
      <c r="O14" s="90"/>
      <c r="P14" s="90"/>
      <c r="Q14" s="90"/>
      <c r="R14" s="90"/>
      <c r="S14" s="91">
        <f t="shared" si="5"/>
        <v>36</v>
      </c>
      <c r="T14" s="91">
        <f t="shared" si="2"/>
        <v>15</v>
      </c>
      <c r="U14" s="90">
        <v>5</v>
      </c>
      <c r="V14" s="90">
        <v>5</v>
      </c>
      <c r="W14" s="93">
        <f t="shared" si="6"/>
        <v>1</v>
      </c>
      <c r="X14" s="94">
        <f t="shared" si="3"/>
        <v>-1</v>
      </c>
      <c r="Y14" s="92">
        <v>-2</v>
      </c>
      <c r="Z14" s="92"/>
      <c r="AA14" s="95">
        <f t="shared" si="4"/>
        <v>12</v>
      </c>
      <c r="AB14" s="90">
        <v>5</v>
      </c>
      <c r="AC14" s="96">
        <v>4</v>
      </c>
    </row>
    <row r="15" spans="1:29" ht="12.75">
      <c r="A15" s="87"/>
      <c r="B15" s="64" t="s">
        <v>629</v>
      </c>
      <c r="C15" s="88">
        <f t="shared" si="0"/>
        <v>0</v>
      </c>
      <c r="D15" s="64" t="s">
        <v>617</v>
      </c>
      <c r="E15" s="64" t="str">
        <f t="shared" si="1"/>
        <v>Fighter</v>
      </c>
      <c r="F15" s="90"/>
      <c r="G15" s="89"/>
      <c r="H15" s="89"/>
      <c r="I15" s="89"/>
      <c r="J15" s="89"/>
      <c r="K15" s="89"/>
      <c r="L15" s="89"/>
      <c r="M15" s="89"/>
      <c r="N15" s="90"/>
      <c r="O15" s="90"/>
      <c r="P15" s="90"/>
      <c r="Q15" s="90"/>
      <c r="R15" s="90"/>
      <c r="S15" s="91">
        <f t="shared" si="5"/>
        <v>0</v>
      </c>
      <c r="T15" s="91">
        <f t="shared" si="2"/>
        <v>2</v>
      </c>
      <c r="U15" s="90">
        <v>1</v>
      </c>
      <c r="V15" s="90">
        <v>0</v>
      </c>
      <c r="W15" s="93">
        <f t="shared" si="6"/>
        <v>0</v>
      </c>
      <c r="X15" s="94">
        <f t="shared" si="3"/>
        <v>0</v>
      </c>
      <c r="Y15" s="92">
        <v>-2</v>
      </c>
      <c r="Z15" s="92"/>
      <c r="AA15" s="95">
        <f t="shared" si="4"/>
        <v>0</v>
      </c>
      <c r="AB15" s="90">
        <v>4</v>
      </c>
      <c r="AC15" s="96">
        <v>4</v>
      </c>
    </row>
    <row r="16" spans="1:29" ht="12.75">
      <c r="A16" s="87"/>
      <c r="B16" s="64" t="s">
        <v>630</v>
      </c>
      <c r="C16" s="88">
        <f t="shared" si="0"/>
        <v>15</v>
      </c>
      <c r="D16" s="64" t="s">
        <v>614</v>
      </c>
      <c r="E16" s="64" t="str">
        <f t="shared" si="1"/>
        <v>Enormous</v>
      </c>
      <c r="F16" s="90" t="s">
        <v>631</v>
      </c>
      <c r="G16" s="89"/>
      <c r="H16" s="89"/>
      <c r="I16" s="89">
        <v>0</v>
      </c>
      <c r="J16" s="89">
        <v>8</v>
      </c>
      <c r="K16" s="89">
        <v>10</v>
      </c>
      <c r="L16" s="89"/>
      <c r="M16" s="89">
        <v>16</v>
      </c>
      <c r="N16" s="90" t="s">
        <v>2</v>
      </c>
      <c r="O16" s="90"/>
      <c r="P16" s="90"/>
      <c r="Q16" s="90"/>
      <c r="R16" s="90"/>
      <c r="S16" s="91">
        <f t="shared" si="5"/>
        <v>111</v>
      </c>
      <c r="T16" s="91">
        <f t="shared" si="2"/>
        <v>20</v>
      </c>
      <c r="U16" s="90">
        <v>4</v>
      </c>
      <c r="V16" s="90">
        <v>12</v>
      </c>
      <c r="W16" s="93">
        <f t="shared" si="6"/>
        <v>3</v>
      </c>
      <c r="X16" s="94">
        <f t="shared" si="3"/>
        <v>-2</v>
      </c>
      <c r="Y16" s="92">
        <v>-3</v>
      </c>
      <c r="Z16" s="92"/>
      <c r="AA16" s="95">
        <f t="shared" si="4"/>
        <v>15</v>
      </c>
      <c r="AB16" s="97">
        <v>38812</v>
      </c>
      <c r="AC16" s="98">
        <v>38812</v>
      </c>
    </row>
    <row r="17" spans="1:29" ht="12.75">
      <c r="A17" s="87"/>
      <c r="B17" s="64" t="s">
        <v>503</v>
      </c>
      <c r="C17" s="88">
        <f t="shared" si="0"/>
        <v>11</v>
      </c>
      <c r="D17" s="64" t="s">
        <v>469</v>
      </c>
      <c r="E17" s="64" t="str">
        <f t="shared" si="1"/>
        <v>Capital</v>
      </c>
      <c r="F17" s="90" t="s">
        <v>612</v>
      </c>
      <c r="G17" s="89"/>
      <c r="H17" s="89"/>
      <c r="I17" s="89">
        <v>8</v>
      </c>
      <c r="J17" s="89">
        <v>0</v>
      </c>
      <c r="K17" s="89">
        <v>2</v>
      </c>
      <c r="L17" s="89">
        <v>2</v>
      </c>
      <c r="M17" s="89">
        <v>0</v>
      </c>
      <c r="N17" s="90"/>
      <c r="O17" s="90"/>
      <c r="P17" s="90"/>
      <c r="Q17" s="90"/>
      <c r="R17" s="90"/>
      <c r="S17" s="91">
        <f t="shared" si="5"/>
        <v>34</v>
      </c>
      <c r="T17" s="91">
        <f t="shared" si="2"/>
        <v>14</v>
      </c>
      <c r="U17" s="90">
        <v>3</v>
      </c>
      <c r="V17" s="90">
        <v>8</v>
      </c>
      <c r="W17" s="93">
        <f t="shared" si="6"/>
        <v>2.6666666666666665</v>
      </c>
      <c r="X17" s="94">
        <f t="shared" si="3"/>
        <v>-1</v>
      </c>
      <c r="Y17" s="92">
        <v>-2</v>
      </c>
      <c r="Z17" s="92"/>
      <c r="AA17" s="95">
        <f t="shared" si="4"/>
        <v>11</v>
      </c>
      <c r="AB17" s="90">
        <v>4</v>
      </c>
      <c r="AC17" s="96">
        <v>4</v>
      </c>
    </row>
    <row r="18" spans="1:29" ht="12.75">
      <c r="A18" s="87"/>
      <c r="B18" s="64" t="s">
        <v>504</v>
      </c>
      <c r="C18" s="88">
        <f t="shared" si="0"/>
        <v>2</v>
      </c>
      <c r="D18" s="64" t="s">
        <v>632</v>
      </c>
      <c r="E18" s="64" t="str">
        <f t="shared" si="1"/>
        <v>LCV</v>
      </c>
      <c r="F18" s="90">
        <v>13</v>
      </c>
      <c r="G18" s="89"/>
      <c r="H18" s="89"/>
      <c r="I18" s="89">
        <v>0</v>
      </c>
      <c r="J18" s="89">
        <v>2</v>
      </c>
      <c r="K18" s="89">
        <v>0</v>
      </c>
      <c r="L18" s="89">
        <v>6</v>
      </c>
      <c r="M18" s="89">
        <v>0</v>
      </c>
      <c r="N18" s="90"/>
      <c r="O18" s="90"/>
      <c r="P18" s="90"/>
      <c r="Q18" s="90"/>
      <c r="R18" s="90"/>
      <c r="S18" s="91">
        <f t="shared" si="5"/>
        <v>5</v>
      </c>
      <c r="T18" s="91">
        <f t="shared" si="2"/>
        <v>6</v>
      </c>
      <c r="U18" s="90">
        <v>2</v>
      </c>
      <c r="V18" s="90">
        <v>8</v>
      </c>
      <c r="W18" s="93">
        <f t="shared" si="6"/>
        <v>4</v>
      </c>
      <c r="X18" s="94">
        <f t="shared" si="3"/>
        <v>-2</v>
      </c>
      <c r="Y18" s="92">
        <v>-2</v>
      </c>
      <c r="Z18" s="92"/>
      <c r="AA18" s="95">
        <f t="shared" si="4"/>
        <v>2</v>
      </c>
      <c r="AB18" s="90">
        <v>4</v>
      </c>
      <c r="AC18" s="96">
        <v>2</v>
      </c>
    </row>
    <row r="19" spans="1:29" ht="12.75">
      <c r="A19" s="87"/>
      <c r="B19" s="64" t="s">
        <v>633</v>
      </c>
      <c r="C19" s="88">
        <f t="shared" si="0"/>
        <v>4</v>
      </c>
      <c r="D19" s="64" t="s">
        <v>632</v>
      </c>
      <c r="E19" s="64" t="str">
        <f t="shared" si="1"/>
        <v>Medium</v>
      </c>
      <c r="F19" s="90">
        <v>13</v>
      </c>
      <c r="G19" s="89"/>
      <c r="H19" s="89"/>
      <c r="I19" s="89">
        <v>0</v>
      </c>
      <c r="J19" s="89">
        <v>2</v>
      </c>
      <c r="K19" s="89">
        <v>4</v>
      </c>
      <c r="L19" s="89">
        <v>2</v>
      </c>
      <c r="M19" s="89">
        <v>0</v>
      </c>
      <c r="N19" s="90"/>
      <c r="O19" s="90"/>
      <c r="P19" s="90"/>
      <c r="Q19" s="90"/>
      <c r="R19" s="90"/>
      <c r="S19" s="91">
        <f t="shared" si="5"/>
        <v>8</v>
      </c>
      <c r="T19" s="91">
        <f t="shared" si="2"/>
        <v>8</v>
      </c>
      <c r="U19" s="90">
        <v>2</v>
      </c>
      <c r="V19" s="90">
        <v>8</v>
      </c>
      <c r="W19" s="93">
        <f t="shared" si="6"/>
        <v>4</v>
      </c>
      <c r="X19" s="94">
        <f t="shared" si="3"/>
        <v>-2</v>
      </c>
      <c r="Y19" s="92">
        <v>-2</v>
      </c>
      <c r="Z19" s="92"/>
      <c r="AA19" s="95">
        <f t="shared" si="4"/>
        <v>4</v>
      </c>
      <c r="AB19" s="90">
        <v>4</v>
      </c>
      <c r="AC19" s="96">
        <v>2</v>
      </c>
    </row>
    <row r="20" spans="1:29" ht="12.75">
      <c r="A20" s="87"/>
      <c r="B20" s="64" t="s">
        <v>1009</v>
      </c>
      <c r="C20" s="88">
        <f>AA20</f>
        <v>7</v>
      </c>
      <c r="D20" s="64" t="s">
        <v>611</v>
      </c>
      <c r="E20" s="64" t="str">
        <f>VLOOKUP(S20,size,3)</f>
        <v>HCV</v>
      </c>
      <c r="F20" s="90" t="s">
        <v>612</v>
      </c>
      <c r="G20" s="89">
        <v>0</v>
      </c>
      <c r="H20" s="89">
        <v>0</v>
      </c>
      <c r="I20" s="89">
        <v>3</v>
      </c>
      <c r="J20" s="89">
        <v>4</v>
      </c>
      <c r="K20" s="89">
        <v>0</v>
      </c>
      <c r="L20" s="89">
        <v>4</v>
      </c>
      <c r="M20" s="89">
        <v>0</v>
      </c>
      <c r="N20" s="90"/>
      <c r="O20" s="90"/>
      <c r="P20" s="90"/>
      <c r="Q20" s="90"/>
      <c r="R20" s="90"/>
      <c r="S20" s="91">
        <f>ROUND(G$2*G20+H$2*H20+I$2*I20+J$2*J20+K$2*K20+L$2*L20+M$2*M20+IF(N20="Y",N$2,0)+IF(O20="Y",O$2,0)+P$2*P20+R20,0)</f>
        <v>21</v>
      </c>
      <c r="T20" s="91">
        <f t="shared" si="2"/>
        <v>11</v>
      </c>
      <c r="U20" s="90">
        <v>2</v>
      </c>
      <c r="V20" s="90">
        <v>9</v>
      </c>
      <c r="W20" s="93">
        <f>V20/U20</f>
        <v>4.5</v>
      </c>
      <c r="X20" s="94">
        <f>-ROUND(V20/U20/2,0)</f>
        <v>-2</v>
      </c>
      <c r="Y20" s="92">
        <v>-2</v>
      </c>
      <c r="Z20" s="92"/>
      <c r="AA20" s="95">
        <f>INT(T20+X20+Y20+Z20)</f>
        <v>7</v>
      </c>
      <c r="AB20" s="90">
        <v>6</v>
      </c>
      <c r="AC20" s="96">
        <v>4</v>
      </c>
    </row>
    <row r="21" spans="1:29" ht="12.75">
      <c r="A21" s="87"/>
      <c r="B21" s="64" t="s">
        <v>634</v>
      </c>
      <c r="C21" s="88">
        <f>AA21</f>
        <v>16</v>
      </c>
      <c r="D21" s="64" t="s">
        <v>614</v>
      </c>
      <c r="E21" s="64" t="str">
        <f>VLOOKUP(S21,size,3)</f>
        <v>Carrier</v>
      </c>
      <c r="F21" s="90" t="s">
        <v>95</v>
      </c>
      <c r="G21" s="89"/>
      <c r="H21" s="89">
        <v>3</v>
      </c>
      <c r="I21" s="89">
        <v>2</v>
      </c>
      <c r="J21" s="89">
        <v>11</v>
      </c>
      <c r="K21" s="89">
        <v>0</v>
      </c>
      <c r="L21" s="89">
        <v>12</v>
      </c>
      <c r="M21" s="89">
        <v>4</v>
      </c>
      <c r="N21" s="90" t="s">
        <v>2</v>
      </c>
      <c r="O21" s="90"/>
      <c r="P21" s="90"/>
      <c r="Q21" s="90"/>
      <c r="R21" s="90"/>
      <c r="S21" s="91">
        <f>ROUND(G$2*G21+H$2*H21+I$2*I21+J$2*J21+K$2*K21+L$2*L21+M$2*M21+IF(N21="Y",N$2,0)+IF(O21="Y",O$2,0)+P$2*P21+R21,0)</f>
        <v>75</v>
      </c>
      <c r="T21" s="91">
        <f>VLOOKUP(S21,size,2)</f>
        <v>18</v>
      </c>
      <c r="U21" s="90">
        <v>3</v>
      </c>
      <c r="V21" s="90">
        <v>12</v>
      </c>
      <c r="W21" s="93">
        <f>V21/U21</f>
        <v>4</v>
      </c>
      <c r="X21" s="94">
        <f>-ROUND(V21/U21/2,0)</f>
        <v>-2</v>
      </c>
      <c r="Y21" s="92">
        <v>0</v>
      </c>
      <c r="Z21" s="92"/>
      <c r="AA21" s="95">
        <f t="shared" si="4"/>
        <v>16</v>
      </c>
      <c r="AB21" s="90" t="s">
        <v>95</v>
      </c>
      <c r="AC21" s="96"/>
    </row>
    <row r="22" spans="1:29" ht="12.75">
      <c r="A22" s="87"/>
      <c r="B22" s="64" t="s">
        <v>506</v>
      </c>
      <c r="C22" s="88">
        <f t="shared" si="0"/>
        <v>14</v>
      </c>
      <c r="D22" s="64" t="s">
        <v>614</v>
      </c>
      <c r="E22" s="64" t="str">
        <f t="shared" si="1"/>
        <v>Enormous</v>
      </c>
      <c r="F22" s="90" t="s">
        <v>635</v>
      </c>
      <c r="G22" s="89"/>
      <c r="H22" s="89">
        <v>2</v>
      </c>
      <c r="I22" s="89">
        <v>2</v>
      </c>
      <c r="J22" s="89">
        <v>14</v>
      </c>
      <c r="K22" s="89">
        <v>6</v>
      </c>
      <c r="L22" s="89">
        <v>6</v>
      </c>
      <c r="M22" s="89">
        <v>4</v>
      </c>
      <c r="N22" s="90" t="s">
        <v>2</v>
      </c>
      <c r="O22" s="90"/>
      <c r="P22" s="90"/>
      <c r="Q22" s="90"/>
      <c r="R22" s="90"/>
      <c r="S22" s="91">
        <f t="shared" si="5"/>
        <v>80</v>
      </c>
      <c r="T22" s="91">
        <f t="shared" si="2"/>
        <v>18</v>
      </c>
      <c r="U22" s="90">
        <v>4</v>
      </c>
      <c r="V22" s="90">
        <v>10</v>
      </c>
      <c r="W22" s="93">
        <f t="shared" si="6"/>
        <v>2.5</v>
      </c>
      <c r="X22" s="94">
        <f t="shared" si="3"/>
        <v>-1</v>
      </c>
      <c r="Y22" s="92">
        <v>-3</v>
      </c>
      <c r="Z22" s="92"/>
      <c r="AA22" s="95">
        <f t="shared" si="4"/>
        <v>14</v>
      </c>
      <c r="AB22" s="90">
        <v>6</v>
      </c>
      <c r="AC22" s="96">
        <v>6</v>
      </c>
    </row>
    <row r="23" spans="1:29" ht="12.75">
      <c r="A23" s="87"/>
      <c r="B23" s="64" t="s">
        <v>636</v>
      </c>
      <c r="C23" s="88">
        <f t="shared" si="0"/>
        <v>9</v>
      </c>
      <c r="D23" s="64" t="s">
        <v>637</v>
      </c>
      <c r="E23" s="64"/>
      <c r="F23" s="90">
        <v>12</v>
      </c>
      <c r="G23" s="89"/>
      <c r="H23" s="89"/>
      <c r="I23" s="89">
        <v>6</v>
      </c>
      <c r="J23" s="89">
        <v>0</v>
      </c>
      <c r="K23" s="89">
        <v>0</v>
      </c>
      <c r="L23" s="89">
        <v>6</v>
      </c>
      <c r="M23" s="89">
        <v>0</v>
      </c>
      <c r="N23" s="90"/>
      <c r="O23" s="90"/>
      <c r="P23" s="100"/>
      <c r="Q23" s="90" t="s">
        <v>637</v>
      </c>
      <c r="R23" s="90">
        <v>-5</v>
      </c>
      <c r="S23" s="91">
        <f t="shared" si="5"/>
        <v>20</v>
      </c>
      <c r="T23" s="91">
        <f t="shared" si="2"/>
        <v>11</v>
      </c>
      <c r="U23" s="90">
        <v>1</v>
      </c>
      <c r="V23" s="90">
        <v>0</v>
      </c>
      <c r="W23" s="93">
        <f t="shared" si="6"/>
        <v>0</v>
      </c>
      <c r="X23" s="94">
        <f t="shared" si="3"/>
        <v>0</v>
      </c>
      <c r="Y23" s="92">
        <v>-2</v>
      </c>
      <c r="Z23" s="92"/>
      <c r="AA23" s="95">
        <f t="shared" si="4"/>
        <v>9</v>
      </c>
      <c r="AB23" s="90">
        <v>4</v>
      </c>
      <c r="AC23" s="96">
        <v>3</v>
      </c>
    </row>
    <row r="24" spans="1:29" ht="12.75">
      <c r="A24" s="87"/>
      <c r="B24" s="64" t="s">
        <v>638</v>
      </c>
      <c r="C24" s="88">
        <f t="shared" si="0"/>
        <v>4</v>
      </c>
      <c r="D24" s="64" t="s">
        <v>637</v>
      </c>
      <c r="E24" s="64"/>
      <c r="F24" s="90">
        <v>10</v>
      </c>
      <c r="G24" s="89"/>
      <c r="H24" s="89"/>
      <c r="I24" s="89">
        <v>2</v>
      </c>
      <c r="J24" s="89">
        <v>0</v>
      </c>
      <c r="K24" s="89">
        <v>0</v>
      </c>
      <c r="L24" s="89">
        <v>3</v>
      </c>
      <c r="M24" s="89">
        <v>0</v>
      </c>
      <c r="N24" s="90"/>
      <c r="O24" s="90"/>
      <c r="P24" s="100"/>
      <c r="Q24" s="90" t="s">
        <v>637</v>
      </c>
      <c r="R24" s="90">
        <v>-5</v>
      </c>
      <c r="S24" s="91">
        <f t="shared" si="5"/>
        <v>4</v>
      </c>
      <c r="T24" s="91">
        <f t="shared" si="2"/>
        <v>6</v>
      </c>
      <c r="U24" s="90">
        <v>1</v>
      </c>
      <c r="V24" s="90">
        <v>0</v>
      </c>
      <c r="W24" s="93">
        <f t="shared" si="6"/>
        <v>0</v>
      </c>
      <c r="X24" s="94">
        <f t="shared" si="3"/>
        <v>0</v>
      </c>
      <c r="Y24" s="92">
        <v>-2</v>
      </c>
      <c r="Z24" s="92"/>
      <c r="AA24" s="95">
        <f t="shared" si="4"/>
        <v>4</v>
      </c>
      <c r="AB24" s="90">
        <v>4</v>
      </c>
      <c r="AC24" s="96">
        <v>2</v>
      </c>
    </row>
    <row r="25" spans="1:29" ht="12.75">
      <c r="A25" s="87"/>
      <c r="B25" s="64" t="s">
        <v>92</v>
      </c>
      <c r="C25" s="88">
        <f>VLOOKUP(B25,Fighters,19,FALSE)</f>
        <v>0</v>
      </c>
      <c r="D25" s="64" t="s">
        <v>55</v>
      </c>
      <c r="E25" s="64"/>
      <c r="F25" s="90"/>
      <c r="G25" s="89"/>
      <c r="H25" s="89"/>
      <c r="I25" s="89"/>
      <c r="J25" s="89"/>
      <c r="K25" s="89"/>
      <c r="L25" s="89"/>
      <c r="M25" s="89"/>
      <c r="N25" s="90"/>
      <c r="O25" s="90"/>
      <c r="P25" s="100"/>
      <c r="Q25" s="90"/>
      <c r="R25" s="90"/>
      <c r="S25" s="91"/>
      <c r="T25" s="91"/>
      <c r="U25" s="90"/>
      <c r="V25" s="90"/>
      <c r="W25" s="93"/>
      <c r="X25" s="94"/>
      <c r="Y25" s="92"/>
      <c r="Z25" s="92"/>
      <c r="AA25" s="95"/>
      <c r="AB25" s="90"/>
      <c r="AC25" s="96"/>
    </row>
    <row r="26" spans="1:29" ht="12.75">
      <c r="A26" s="87"/>
      <c r="B26" s="64" t="s">
        <v>90</v>
      </c>
      <c r="C26" s="88">
        <f>VLOOKUP(B26,Fighters,19,FALSE)</f>
        <v>0</v>
      </c>
      <c r="D26" s="64" t="s">
        <v>55</v>
      </c>
      <c r="E26" s="64"/>
      <c r="F26" s="90"/>
      <c r="G26" s="89"/>
      <c r="H26" s="89"/>
      <c r="I26" s="89"/>
      <c r="J26" s="89"/>
      <c r="K26" s="89"/>
      <c r="L26" s="89"/>
      <c r="M26" s="89"/>
      <c r="N26" s="90"/>
      <c r="O26" s="90"/>
      <c r="P26" s="100"/>
      <c r="Q26" s="90"/>
      <c r="R26" s="90"/>
      <c r="S26" s="91"/>
      <c r="T26" s="91"/>
      <c r="U26" s="90"/>
      <c r="V26" s="90"/>
      <c r="W26" s="93"/>
      <c r="X26" s="94"/>
      <c r="Y26" s="92"/>
      <c r="Z26" s="92"/>
      <c r="AA26" s="95"/>
      <c r="AB26" s="90"/>
      <c r="AC26" s="96"/>
    </row>
    <row r="27" spans="1:29" ht="12.75">
      <c r="A27" s="87"/>
      <c r="B27" s="64" t="s">
        <v>72</v>
      </c>
      <c r="C27" s="88">
        <f>VLOOKUP(B27,Fighters,19,FALSE)</f>
        <v>0</v>
      </c>
      <c r="D27" s="64" t="s">
        <v>55</v>
      </c>
      <c r="E27" s="64"/>
      <c r="F27" s="90"/>
      <c r="G27" s="89"/>
      <c r="H27" s="89"/>
      <c r="I27" s="89"/>
      <c r="J27" s="89"/>
      <c r="K27" s="89"/>
      <c r="L27" s="89"/>
      <c r="M27" s="89"/>
      <c r="N27" s="90"/>
      <c r="O27" s="90"/>
      <c r="P27" s="100"/>
      <c r="Q27" s="90"/>
      <c r="R27" s="90"/>
      <c r="S27" s="91"/>
      <c r="T27" s="91"/>
      <c r="U27" s="90"/>
      <c r="V27" s="90"/>
      <c r="W27" s="93"/>
      <c r="X27" s="94"/>
      <c r="Y27" s="92"/>
      <c r="Z27" s="92"/>
      <c r="AA27" s="95"/>
      <c r="AB27" s="90"/>
      <c r="AC27" s="96"/>
    </row>
    <row r="28" spans="1:29" ht="12.75">
      <c r="A28" s="78" t="s">
        <v>508</v>
      </c>
      <c r="B28" s="79"/>
      <c r="C28" s="88"/>
      <c r="D28" s="79"/>
      <c r="E28" s="79"/>
      <c r="F28" s="81"/>
      <c r="G28" s="82"/>
      <c r="H28" s="82"/>
      <c r="I28" s="82"/>
      <c r="J28" s="82"/>
      <c r="K28" s="82"/>
      <c r="L28" s="82"/>
      <c r="M28" s="82"/>
      <c r="N28" s="81"/>
      <c r="O28" s="81"/>
      <c r="P28" s="81"/>
      <c r="Q28" s="81"/>
      <c r="R28" s="81"/>
      <c r="S28" s="81"/>
      <c r="T28" s="81"/>
      <c r="U28" s="81"/>
      <c r="V28" s="81"/>
      <c r="W28" s="84"/>
      <c r="X28" s="85"/>
      <c r="Y28" s="83"/>
      <c r="Z28" s="83"/>
      <c r="AA28" s="85"/>
      <c r="AB28" s="81"/>
      <c r="AC28" s="86"/>
    </row>
    <row r="29" spans="1:29" ht="12.75">
      <c r="A29" s="102" t="s">
        <v>639</v>
      </c>
      <c r="B29" s="64" t="s">
        <v>510</v>
      </c>
      <c r="C29" s="88">
        <f t="shared" si="0"/>
        <v>16</v>
      </c>
      <c r="D29" s="64" t="s">
        <v>614</v>
      </c>
      <c r="E29" s="64" t="str">
        <f aca="true" t="shared" si="7" ref="E29:E42">VLOOKUP(S29,size,3)</f>
        <v>Carrier</v>
      </c>
      <c r="F29" s="90" t="s">
        <v>640</v>
      </c>
      <c r="G29" s="89"/>
      <c r="H29" s="89"/>
      <c r="I29" s="89">
        <v>6</v>
      </c>
      <c r="J29" s="89">
        <v>0</v>
      </c>
      <c r="K29" s="89">
        <v>19</v>
      </c>
      <c r="L29" s="89"/>
      <c r="M29" s="89">
        <v>4</v>
      </c>
      <c r="N29" s="90" t="s">
        <v>2</v>
      </c>
      <c r="O29" s="90"/>
      <c r="P29" s="90"/>
      <c r="Q29" s="90"/>
      <c r="R29" s="90"/>
      <c r="S29" s="91">
        <f t="shared" si="5"/>
        <v>68</v>
      </c>
      <c r="T29" s="91">
        <f aca="true" t="shared" si="8" ref="T29:T43">VLOOKUP(S29,size,2)</f>
        <v>18</v>
      </c>
      <c r="U29" s="90">
        <v>5</v>
      </c>
      <c r="V29" s="90">
        <v>15</v>
      </c>
      <c r="W29" s="93">
        <f t="shared" si="6"/>
        <v>3</v>
      </c>
      <c r="X29" s="94">
        <f t="shared" si="3"/>
        <v>-2</v>
      </c>
      <c r="Y29" s="92"/>
      <c r="Z29" s="92"/>
      <c r="AA29" s="95">
        <f aca="true" t="shared" si="9" ref="AA29:AA43">ROUND(T29+X29+Y29+Z29,0)</f>
        <v>16</v>
      </c>
      <c r="AB29" s="97">
        <v>38843</v>
      </c>
      <c r="AC29" s="98">
        <v>38843</v>
      </c>
    </row>
    <row r="30" spans="1:29" ht="25.5">
      <c r="A30" s="102" t="s">
        <v>641</v>
      </c>
      <c r="B30" s="64" t="s">
        <v>642</v>
      </c>
      <c r="C30" s="88">
        <f t="shared" si="0"/>
        <v>11</v>
      </c>
      <c r="D30" s="64" t="s">
        <v>611</v>
      </c>
      <c r="E30" s="64" t="str">
        <f t="shared" si="7"/>
        <v>Capital</v>
      </c>
      <c r="F30" s="90" t="s">
        <v>643</v>
      </c>
      <c r="G30" s="89"/>
      <c r="H30" s="89"/>
      <c r="I30" s="89">
        <v>0</v>
      </c>
      <c r="J30" s="89">
        <v>0</v>
      </c>
      <c r="K30" s="89">
        <v>14</v>
      </c>
      <c r="L30" s="89"/>
      <c r="M30" s="89">
        <v>1</v>
      </c>
      <c r="N30" s="90" t="s">
        <v>2</v>
      </c>
      <c r="O30" s="90" t="s">
        <v>2</v>
      </c>
      <c r="P30" s="90"/>
      <c r="Q30" s="90"/>
      <c r="R30" s="90"/>
      <c r="S30" s="91">
        <f t="shared" si="5"/>
        <v>24</v>
      </c>
      <c r="T30" s="91">
        <f t="shared" si="8"/>
        <v>12</v>
      </c>
      <c r="U30" s="90">
        <v>4</v>
      </c>
      <c r="V30" s="90">
        <v>10</v>
      </c>
      <c r="W30" s="93">
        <f t="shared" si="6"/>
        <v>2.5</v>
      </c>
      <c r="X30" s="94">
        <f t="shared" si="3"/>
        <v>-1</v>
      </c>
      <c r="Y30" s="92"/>
      <c r="Z30" s="92"/>
      <c r="AA30" s="95">
        <f t="shared" si="9"/>
        <v>11</v>
      </c>
      <c r="AB30" s="90">
        <v>4</v>
      </c>
      <c r="AC30" s="96">
        <v>4</v>
      </c>
    </row>
    <row r="31" spans="1:29" ht="12.75">
      <c r="A31" s="87"/>
      <c r="B31" s="64" t="s">
        <v>644</v>
      </c>
      <c r="C31" s="88">
        <f>AA31</f>
        <v>15</v>
      </c>
      <c r="D31" s="103" t="s">
        <v>469</v>
      </c>
      <c r="E31" s="64" t="str">
        <f t="shared" si="7"/>
        <v>Carrier</v>
      </c>
      <c r="F31" s="90" t="s">
        <v>622</v>
      </c>
      <c r="G31" s="89"/>
      <c r="H31" s="89"/>
      <c r="I31" s="89">
        <v>0</v>
      </c>
      <c r="J31" s="89">
        <v>0</v>
      </c>
      <c r="K31" s="89">
        <v>11</v>
      </c>
      <c r="L31" s="89"/>
      <c r="M31" s="89">
        <v>8</v>
      </c>
      <c r="N31" s="90" t="s">
        <v>2</v>
      </c>
      <c r="O31" s="90"/>
      <c r="P31" s="90"/>
      <c r="Q31" s="90"/>
      <c r="R31" s="90"/>
      <c r="S31" s="91">
        <f t="shared" si="5"/>
        <v>56</v>
      </c>
      <c r="T31" s="91">
        <f t="shared" si="8"/>
        <v>17</v>
      </c>
      <c r="U31" s="90">
        <v>3</v>
      </c>
      <c r="V31" s="90">
        <v>10</v>
      </c>
      <c r="W31" s="93">
        <f t="shared" si="6"/>
        <v>3.3333333333333335</v>
      </c>
      <c r="X31" s="94">
        <f t="shared" si="3"/>
        <v>-2</v>
      </c>
      <c r="Y31" s="92"/>
      <c r="Z31" s="92"/>
      <c r="AA31" s="95">
        <f t="shared" si="9"/>
        <v>15</v>
      </c>
      <c r="AB31" s="97">
        <v>38812</v>
      </c>
      <c r="AC31" s="98">
        <v>38812</v>
      </c>
    </row>
    <row r="32" spans="1:29" ht="12.75">
      <c r="A32" s="87"/>
      <c r="B32" s="64" t="s">
        <v>512</v>
      </c>
      <c r="C32" s="88">
        <f aca="true" t="shared" si="10" ref="C32:C115">AA32</f>
        <v>15</v>
      </c>
      <c r="D32" s="64" t="s">
        <v>621</v>
      </c>
      <c r="E32" s="64" t="str">
        <f t="shared" si="7"/>
        <v>Carrier</v>
      </c>
      <c r="F32" s="90" t="s">
        <v>631</v>
      </c>
      <c r="G32" s="89"/>
      <c r="H32" s="89"/>
      <c r="I32" s="89">
        <v>10</v>
      </c>
      <c r="J32" s="89">
        <v>0</v>
      </c>
      <c r="K32" s="89">
        <v>5</v>
      </c>
      <c r="L32" s="89"/>
      <c r="M32" s="89">
        <v>0</v>
      </c>
      <c r="N32" s="90" t="s">
        <v>2</v>
      </c>
      <c r="O32" s="90"/>
      <c r="P32" s="90"/>
      <c r="Q32" s="90"/>
      <c r="R32" s="90"/>
      <c r="S32" s="91">
        <f t="shared" si="5"/>
        <v>50</v>
      </c>
      <c r="T32" s="91">
        <f t="shared" si="8"/>
        <v>16</v>
      </c>
      <c r="U32" s="90">
        <v>5</v>
      </c>
      <c r="V32" s="90">
        <v>12</v>
      </c>
      <c r="W32" s="93">
        <f t="shared" si="6"/>
        <v>2.4</v>
      </c>
      <c r="X32" s="94">
        <f t="shared" si="3"/>
        <v>-1</v>
      </c>
      <c r="Y32" s="92"/>
      <c r="Z32" s="92"/>
      <c r="AA32" s="95">
        <f t="shared" si="9"/>
        <v>15</v>
      </c>
      <c r="AB32" s="97">
        <v>38812</v>
      </c>
      <c r="AC32" s="98">
        <v>38812</v>
      </c>
    </row>
    <row r="33" spans="1:29" ht="12.75">
      <c r="A33" s="87"/>
      <c r="B33" s="64" t="s">
        <v>645</v>
      </c>
      <c r="C33" s="88">
        <f t="shared" si="10"/>
        <v>8</v>
      </c>
      <c r="D33" s="64" t="s">
        <v>611</v>
      </c>
      <c r="E33" s="64" t="str">
        <f t="shared" si="7"/>
        <v>HCV</v>
      </c>
      <c r="F33" s="90" t="s">
        <v>646</v>
      </c>
      <c r="G33" s="89"/>
      <c r="H33" s="89"/>
      <c r="I33" s="89">
        <v>2</v>
      </c>
      <c r="J33" s="89">
        <v>0</v>
      </c>
      <c r="K33" s="89">
        <v>9</v>
      </c>
      <c r="L33" s="89"/>
      <c r="M33" s="89">
        <v>0</v>
      </c>
      <c r="N33" s="90"/>
      <c r="O33" s="90"/>
      <c r="P33" s="90"/>
      <c r="Q33" s="90"/>
      <c r="R33" s="90"/>
      <c r="S33" s="91">
        <f t="shared" si="5"/>
        <v>17</v>
      </c>
      <c r="T33" s="91">
        <f t="shared" si="8"/>
        <v>10</v>
      </c>
      <c r="U33" s="90">
        <v>3</v>
      </c>
      <c r="V33" s="90">
        <v>14</v>
      </c>
      <c r="W33" s="93">
        <f t="shared" si="6"/>
        <v>4.666666666666667</v>
      </c>
      <c r="X33" s="94">
        <f t="shared" si="3"/>
        <v>-2</v>
      </c>
      <c r="Y33" s="92"/>
      <c r="Z33" s="92"/>
      <c r="AA33" s="95">
        <f t="shared" si="9"/>
        <v>8</v>
      </c>
      <c r="AB33" s="90">
        <v>5</v>
      </c>
      <c r="AC33" s="96">
        <v>3</v>
      </c>
    </row>
    <row r="34" spans="1:29" ht="12.75">
      <c r="A34" s="87"/>
      <c r="B34" s="64" t="s">
        <v>513</v>
      </c>
      <c r="C34" s="88">
        <f t="shared" si="10"/>
        <v>10</v>
      </c>
      <c r="D34" s="64" t="s">
        <v>611</v>
      </c>
      <c r="E34" s="64" t="str">
        <f t="shared" si="7"/>
        <v>Capital</v>
      </c>
      <c r="F34" s="90"/>
      <c r="G34" s="89"/>
      <c r="H34" s="89"/>
      <c r="I34" s="89">
        <v>3</v>
      </c>
      <c r="J34" s="89">
        <v>2</v>
      </c>
      <c r="K34" s="89">
        <v>2</v>
      </c>
      <c r="L34" s="89"/>
      <c r="M34" s="89">
        <v>0</v>
      </c>
      <c r="N34" s="90" t="s">
        <v>2</v>
      </c>
      <c r="O34" s="90"/>
      <c r="P34" s="90"/>
      <c r="Q34" s="90"/>
      <c r="R34" s="90"/>
      <c r="S34" s="91">
        <f t="shared" si="5"/>
        <v>23</v>
      </c>
      <c r="T34" s="91">
        <f t="shared" si="8"/>
        <v>12</v>
      </c>
      <c r="U34" s="90">
        <v>3</v>
      </c>
      <c r="V34" s="90">
        <v>10</v>
      </c>
      <c r="W34" s="93">
        <f t="shared" si="6"/>
        <v>3.3333333333333335</v>
      </c>
      <c r="X34" s="94">
        <f t="shared" si="3"/>
        <v>-2</v>
      </c>
      <c r="Y34" s="92"/>
      <c r="Z34" s="92"/>
      <c r="AA34" s="95">
        <f t="shared" si="9"/>
        <v>10</v>
      </c>
      <c r="AB34" s="97">
        <v>38813</v>
      </c>
      <c r="AC34" s="98">
        <v>38781</v>
      </c>
    </row>
    <row r="35" spans="1:29" ht="12.75">
      <c r="A35" s="87"/>
      <c r="B35" s="64" t="s">
        <v>514</v>
      </c>
      <c r="C35" s="88">
        <f t="shared" si="10"/>
        <v>18</v>
      </c>
      <c r="D35" s="64" t="s">
        <v>614</v>
      </c>
      <c r="E35" s="64" t="str">
        <f t="shared" si="7"/>
        <v>Enormous</v>
      </c>
      <c r="F35" s="90" t="s">
        <v>647</v>
      </c>
      <c r="G35" s="89"/>
      <c r="H35" s="89"/>
      <c r="I35" s="89">
        <v>8</v>
      </c>
      <c r="J35" s="89">
        <v>0</v>
      </c>
      <c r="K35" s="89">
        <v>25</v>
      </c>
      <c r="L35" s="89"/>
      <c r="M35" s="89">
        <v>4</v>
      </c>
      <c r="N35" s="90" t="s">
        <v>2</v>
      </c>
      <c r="O35" s="90"/>
      <c r="P35" s="90"/>
      <c r="Q35" s="90"/>
      <c r="R35" s="90"/>
      <c r="S35" s="91">
        <f t="shared" si="5"/>
        <v>82</v>
      </c>
      <c r="T35" s="91">
        <f t="shared" si="8"/>
        <v>19</v>
      </c>
      <c r="U35" s="90">
        <v>6</v>
      </c>
      <c r="V35" s="90">
        <v>16</v>
      </c>
      <c r="W35" s="93">
        <f t="shared" si="6"/>
        <v>2.6666666666666665</v>
      </c>
      <c r="X35" s="94">
        <f t="shared" si="3"/>
        <v>-1</v>
      </c>
      <c r="Y35" s="92"/>
      <c r="Z35" s="92"/>
      <c r="AA35" s="95">
        <f t="shared" si="9"/>
        <v>18</v>
      </c>
      <c r="AB35" s="90">
        <v>6</v>
      </c>
      <c r="AC35" s="96">
        <v>6</v>
      </c>
    </row>
    <row r="36" spans="1:29" ht="12.75">
      <c r="A36" s="87"/>
      <c r="B36" s="64" t="s">
        <v>515</v>
      </c>
      <c r="C36" s="88">
        <f t="shared" si="10"/>
        <v>17</v>
      </c>
      <c r="D36" s="64" t="s">
        <v>614</v>
      </c>
      <c r="E36" s="64" t="str">
        <f t="shared" si="7"/>
        <v>Carrier</v>
      </c>
      <c r="F36" s="90" t="s">
        <v>640</v>
      </c>
      <c r="G36" s="89"/>
      <c r="H36" s="89"/>
      <c r="I36" s="89">
        <v>6</v>
      </c>
      <c r="J36" s="89">
        <v>0</v>
      </c>
      <c r="K36" s="89">
        <v>19</v>
      </c>
      <c r="L36" s="89"/>
      <c r="M36" s="89">
        <v>4</v>
      </c>
      <c r="N36" s="90" t="s">
        <v>2</v>
      </c>
      <c r="O36" s="90"/>
      <c r="P36" s="90"/>
      <c r="Q36" s="90"/>
      <c r="R36" s="90"/>
      <c r="S36" s="91">
        <f t="shared" si="5"/>
        <v>68</v>
      </c>
      <c r="T36" s="91">
        <f t="shared" si="8"/>
        <v>18</v>
      </c>
      <c r="U36" s="90">
        <v>5</v>
      </c>
      <c r="V36" s="90">
        <v>12</v>
      </c>
      <c r="W36" s="93">
        <f t="shared" si="6"/>
        <v>2.4</v>
      </c>
      <c r="X36" s="94">
        <f t="shared" si="3"/>
        <v>-1</v>
      </c>
      <c r="Y36" s="92"/>
      <c r="Z36" s="92"/>
      <c r="AA36" s="95">
        <f t="shared" si="9"/>
        <v>17</v>
      </c>
      <c r="AB36" s="97">
        <v>38813</v>
      </c>
      <c r="AC36" s="98">
        <v>38813</v>
      </c>
    </row>
    <row r="37" spans="1:29" ht="12.75">
      <c r="A37" s="87"/>
      <c r="B37" s="64" t="s">
        <v>516</v>
      </c>
      <c r="C37" s="88">
        <f t="shared" si="10"/>
        <v>15</v>
      </c>
      <c r="D37" s="64" t="s">
        <v>621</v>
      </c>
      <c r="E37" s="64" t="str">
        <f t="shared" si="7"/>
        <v>Carrier</v>
      </c>
      <c r="F37" s="90" t="s">
        <v>643</v>
      </c>
      <c r="G37" s="89"/>
      <c r="H37" s="89"/>
      <c r="I37" s="89">
        <v>6</v>
      </c>
      <c r="J37" s="89">
        <v>2</v>
      </c>
      <c r="K37" s="89">
        <v>10</v>
      </c>
      <c r="L37" s="89"/>
      <c r="M37" s="89">
        <v>1</v>
      </c>
      <c r="N37" s="90"/>
      <c r="O37" s="90"/>
      <c r="P37" s="90"/>
      <c r="Q37" s="90"/>
      <c r="R37" s="90"/>
      <c r="S37" s="91">
        <f t="shared" si="5"/>
        <v>43</v>
      </c>
      <c r="T37" s="91">
        <f t="shared" si="8"/>
        <v>16</v>
      </c>
      <c r="U37" s="90">
        <v>4</v>
      </c>
      <c r="V37" s="90">
        <v>10</v>
      </c>
      <c r="W37" s="93">
        <f t="shared" si="6"/>
        <v>2.5</v>
      </c>
      <c r="X37" s="94">
        <f t="shared" si="3"/>
        <v>-1</v>
      </c>
      <c r="Y37" s="92"/>
      <c r="Z37" s="92"/>
      <c r="AA37" s="95">
        <f t="shared" si="9"/>
        <v>15</v>
      </c>
      <c r="AB37" s="90">
        <v>5</v>
      </c>
      <c r="AC37" s="96">
        <v>5</v>
      </c>
    </row>
    <row r="38" spans="1:29" ht="12.75">
      <c r="A38" s="87"/>
      <c r="B38" s="64" t="s">
        <v>517</v>
      </c>
      <c r="C38" s="88">
        <f>AA38</f>
        <v>15</v>
      </c>
      <c r="D38" s="64" t="s">
        <v>621</v>
      </c>
      <c r="E38" s="64" t="str">
        <f>VLOOKUP(S38,size,3)</f>
        <v>Carrier</v>
      </c>
      <c r="F38" s="90" t="s">
        <v>643</v>
      </c>
      <c r="G38" s="89"/>
      <c r="H38" s="89"/>
      <c r="I38" s="89">
        <v>6</v>
      </c>
      <c r="J38" s="89"/>
      <c r="K38" s="89">
        <v>14</v>
      </c>
      <c r="L38" s="89"/>
      <c r="M38" s="89">
        <v>1</v>
      </c>
      <c r="N38" s="90"/>
      <c r="O38" s="90"/>
      <c r="P38" s="90"/>
      <c r="Q38" s="90"/>
      <c r="R38" s="90"/>
      <c r="S38" s="91">
        <f>ROUND(G$2*G38+H$2*H38+I$2*I38+J$2*J38+K$2*K38+L$2*L38+M$2*M38+IF(N38="Y",N$2,0)+IF(O38="Y",O$2,0)+P$2*P38+R38,0)</f>
        <v>43</v>
      </c>
      <c r="T38" s="91">
        <f>VLOOKUP(S38,size,2)</f>
        <v>16</v>
      </c>
      <c r="U38" s="90">
        <v>4</v>
      </c>
      <c r="V38" s="90">
        <v>10</v>
      </c>
      <c r="W38" s="93">
        <f>V38/U38</f>
        <v>2.5</v>
      </c>
      <c r="X38" s="94">
        <f>-ROUND(V38/U38/2,0)</f>
        <v>-1</v>
      </c>
      <c r="Y38" s="92"/>
      <c r="Z38" s="92"/>
      <c r="AA38" s="95">
        <f t="shared" si="9"/>
        <v>15</v>
      </c>
      <c r="AB38" s="90">
        <v>5</v>
      </c>
      <c r="AC38" s="96">
        <v>5</v>
      </c>
    </row>
    <row r="39" spans="1:29" ht="12.75">
      <c r="A39" s="87"/>
      <c r="B39" s="64" t="s">
        <v>518</v>
      </c>
      <c r="C39" s="88">
        <f t="shared" si="10"/>
        <v>10</v>
      </c>
      <c r="D39" s="64" t="s">
        <v>611</v>
      </c>
      <c r="E39" s="64" t="str">
        <f t="shared" si="7"/>
        <v>Capital</v>
      </c>
      <c r="F39" s="90" t="s">
        <v>615</v>
      </c>
      <c r="G39" s="89"/>
      <c r="H39" s="89"/>
      <c r="I39" s="89">
        <v>3</v>
      </c>
      <c r="J39" s="89">
        <v>0</v>
      </c>
      <c r="K39" s="89">
        <v>8</v>
      </c>
      <c r="L39" s="89"/>
      <c r="M39" s="89">
        <v>0</v>
      </c>
      <c r="N39" s="90" t="s">
        <v>2</v>
      </c>
      <c r="O39" s="90"/>
      <c r="P39" s="90"/>
      <c r="Q39" s="90"/>
      <c r="R39" s="90"/>
      <c r="S39" s="91">
        <f t="shared" si="5"/>
        <v>25</v>
      </c>
      <c r="T39" s="91">
        <f t="shared" si="8"/>
        <v>12</v>
      </c>
      <c r="U39" s="90">
        <v>3</v>
      </c>
      <c r="V39" s="90">
        <v>10</v>
      </c>
      <c r="W39" s="93">
        <f t="shared" si="6"/>
        <v>3.3333333333333335</v>
      </c>
      <c r="X39" s="94">
        <f t="shared" si="3"/>
        <v>-2</v>
      </c>
      <c r="Y39" s="92"/>
      <c r="Z39" s="92"/>
      <c r="AA39" s="95">
        <f t="shared" si="9"/>
        <v>10</v>
      </c>
      <c r="AB39" s="97">
        <v>38813</v>
      </c>
      <c r="AC39" s="98">
        <v>38781</v>
      </c>
    </row>
    <row r="40" spans="1:29" ht="12.75">
      <c r="A40" s="87"/>
      <c r="B40" s="64" t="s">
        <v>519</v>
      </c>
      <c r="C40" s="88">
        <f t="shared" si="10"/>
        <v>11</v>
      </c>
      <c r="D40" s="103" t="s">
        <v>611</v>
      </c>
      <c r="E40" s="64" t="str">
        <f t="shared" si="7"/>
        <v>Capital</v>
      </c>
      <c r="F40" s="90">
        <v>15</v>
      </c>
      <c r="G40" s="89"/>
      <c r="H40" s="89"/>
      <c r="I40" s="89">
        <v>2</v>
      </c>
      <c r="J40" s="89">
        <v>0</v>
      </c>
      <c r="K40" s="89">
        <v>5</v>
      </c>
      <c r="L40" s="89"/>
      <c r="M40" s="89">
        <v>2</v>
      </c>
      <c r="N40" s="90"/>
      <c r="O40" s="90"/>
      <c r="P40" s="90"/>
      <c r="Q40" s="90"/>
      <c r="R40" s="90"/>
      <c r="S40" s="91">
        <f t="shared" si="5"/>
        <v>23</v>
      </c>
      <c r="T40" s="91">
        <f t="shared" si="8"/>
        <v>12</v>
      </c>
      <c r="U40" s="90">
        <v>3</v>
      </c>
      <c r="V40" s="90">
        <v>8</v>
      </c>
      <c r="W40" s="93">
        <f t="shared" si="6"/>
        <v>2.6666666666666665</v>
      </c>
      <c r="X40" s="94">
        <f t="shared" si="3"/>
        <v>-1</v>
      </c>
      <c r="Y40" s="92"/>
      <c r="Z40" s="92"/>
      <c r="AA40" s="95">
        <f t="shared" si="9"/>
        <v>11</v>
      </c>
      <c r="AB40" s="90">
        <v>6</v>
      </c>
      <c r="AC40" s="96">
        <v>4</v>
      </c>
    </row>
    <row r="41" spans="1:29" ht="12.75">
      <c r="A41" s="87"/>
      <c r="B41" s="64" t="s">
        <v>648</v>
      </c>
      <c r="C41" s="88">
        <f t="shared" si="10"/>
        <v>13</v>
      </c>
      <c r="D41" s="64" t="s">
        <v>469</v>
      </c>
      <c r="E41" s="64" t="str">
        <f t="shared" si="7"/>
        <v>Capital</v>
      </c>
      <c r="F41" s="90">
        <v>16</v>
      </c>
      <c r="G41" s="89"/>
      <c r="H41" s="89"/>
      <c r="I41" s="89">
        <v>6</v>
      </c>
      <c r="J41" s="89">
        <v>0</v>
      </c>
      <c r="K41" s="89">
        <v>8</v>
      </c>
      <c r="L41" s="89"/>
      <c r="M41" s="89">
        <v>0</v>
      </c>
      <c r="N41" s="90"/>
      <c r="O41" s="90"/>
      <c r="P41" s="90"/>
      <c r="Q41" s="90"/>
      <c r="R41" s="90"/>
      <c r="S41" s="91">
        <f t="shared" si="5"/>
        <v>32</v>
      </c>
      <c r="T41" s="91">
        <f t="shared" si="8"/>
        <v>14</v>
      </c>
      <c r="U41" s="90">
        <v>4</v>
      </c>
      <c r="V41" s="90">
        <v>9</v>
      </c>
      <c r="W41" s="93">
        <f t="shared" si="6"/>
        <v>2.25</v>
      </c>
      <c r="X41" s="94">
        <f t="shared" si="3"/>
        <v>-1</v>
      </c>
      <c r="Y41" s="92"/>
      <c r="Z41" s="92"/>
      <c r="AA41" s="95">
        <f t="shared" si="9"/>
        <v>13</v>
      </c>
      <c r="AB41" s="90">
        <v>7</v>
      </c>
      <c r="AC41" s="96">
        <v>7</v>
      </c>
    </row>
    <row r="42" spans="1:29" ht="12.75">
      <c r="A42" s="102"/>
      <c r="B42" s="64" t="s">
        <v>649</v>
      </c>
      <c r="C42" s="88">
        <f t="shared" si="10"/>
        <v>5</v>
      </c>
      <c r="D42" s="64" t="s">
        <v>12</v>
      </c>
      <c r="E42" s="64" t="str">
        <f t="shared" si="7"/>
        <v>HCV</v>
      </c>
      <c r="F42" s="90" t="s">
        <v>650</v>
      </c>
      <c r="G42" s="89"/>
      <c r="H42" s="89"/>
      <c r="I42" s="89">
        <v>1</v>
      </c>
      <c r="J42" s="89">
        <v>2</v>
      </c>
      <c r="K42" s="89">
        <v>0</v>
      </c>
      <c r="L42" s="89">
        <v>2</v>
      </c>
      <c r="M42" s="89">
        <v>0</v>
      </c>
      <c r="N42" s="90" t="s">
        <v>2</v>
      </c>
      <c r="O42" s="90"/>
      <c r="P42" s="90"/>
      <c r="Q42" s="90"/>
      <c r="R42" s="90"/>
      <c r="S42" s="91">
        <f t="shared" si="5"/>
        <v>13</v>
      </c>
      <c r="T42" s="91">
        <f t="shared" si="8"/>
        <v>9</v>
      </c>
      <c r="U42" s="90">
        <v>2</v>
      </c>
      <c r="V42" s="90">
        <v>12</v>
      </c>
      <c r="W42" s="93">
        <f t="shared" si="6"/>
        <v>6</v>
      </c>
      <c r="X42" s="94">
        <f t="shared" si="3"/>
        <v>-3</v>
      </c>
      <c r="Y42" s="92"/>
      <c r="Z42" s="92">
        <v>-1</v>
      </c>
      <c r="AA42" s="95">
        <f t="shared" si="9"/>
        <v>5</v>
      </c>
      <c r="AB42" s="105">
        <v>5</v>
      </c>
      <c r="AC42" s="104">
        <v>3</v>
      </c>
    </row>
    <row r="43" spans="1:29" ht="12.75">
      <c r="A43" s="87"/>
      <c r="B43" s="64" t="s">
        <v>637</v>
      </c>
      <c r="C43" s="88">
        <f t="shared" si="10"/>
        <v>8</v>
      </c>
      <c r="D43" s="64" t="s">
        <v>637</v>
      </c>
      <c r="E43" s="64"/>
      <c r="F43" s="90" t="s">
        <v>651</v>
      </c>
      <c r="G43" s="89"/>
      <c r="H43" s="89"/>
      <c r="I43" s="105">
        <v>1</v>
      </c>
      <c r="J43" s="105">
        <v>0</v>
      </c>
      <c r="K43" s="105">
        <v>4</v>
      </c>
      <c r="L43" s="89"/>
      <c r="M43" s="105">
        <v>0</v>
      </c>
      <c r="N43" s="90"/>
      <c r="O43" s="90"/>
      <c r="P43" s="90"/>
      <c r="Q43" s="90"/>
      <c r="R43" s="90"/>
      <c r="S43" s="91">
        <f t="shared" si="5"/>
        <v>8</v>
      </c>
      <c r="T43" s="91">
        <f t="shared" si="8"/>
        <v>8</v>
      </c>
      <c r="U43" s="90">
        <v>1</v>
      </c>
      <c r="V43" s="90">
        <v>0</v>
      </c>
      <c r="W43" s="93">
        <f t="shared" si="6"/>
        <v>0</v>
      </c>
      <c r="X43" s="94">
        <f t="shared" si="3"/>
        <v>0</v>
      </c>
      <c r="Y43" s="92"/>
      <c r="Z43" s="92"/>
      <c r="AA43" s="95">
        <f t="shared" si="9"/>
        <v>8</v>
      </c>
      <c r="AB43" s="90"/>
      <c r="AC43" s="96"/>
    </row>
    <row r="44" spans="1:29" ht="12.75">
      <c r="A44" s="87"/>
      <c r="B44" s="64" t="s">
        <v>87</v>
      </c>
      <c r="C44" s="88">
        <f>VLOOKUP(B44,Fighters,19,FALSE)</f>
        <v>0</v>
      </c>
      <c r="D44" s="64" t="s">
        <v>55</v>
      </c>
      <c r="E44" s="64"/>
      <c r="F44" s="90"/>
      <c r="G44" s="89"/>
      <c r="H44" s="89"/>
      <c r="I44" s="105"/>
      <c r="J44" s="105"/>
      <c r="K44" s="105"/>
      <c r="L44" s="89"/>
      <c r="M44" s="105"/>
      <c r="N44" s="90"/>
      <c r="O44" s="90"/>
      <c r="P44" s="90"/>
      <c r="Q44" s="90"/>
      <c r="R44" s="90"/>
      <c r="S44" s="91"/>
      <c r="T44" s="91"/>
      <c r="U44" s="90"/>
      <c r="V44" s="90"/>
      <c r="W44" s="93"/>
      <c r="X44" s="94"/>
      <c r="Y44" s="92"/>
      <c r="Z44" s="92"/>
      <c r="AA44" s="95"/>
      <c r="AB44" s="90"/>
      <c r="AC44" s="96"/>
    </row>
    <row r="45" spans="1:29" ht="12.75">
      <c r="A45" s="87"/>
      <c r="B45" s="64" t="s">
        <v>85</v>
      </c>
      <c r="C45" s="88">
        <f>VLOOKUP(B45,Fighters,19,FALSE)</f>
        <v>0</v>
      </c>
      <c r="D45" s="64" t="s">
        <v>55</v>
      </c>
      <c r="E45" s="64"/>
      <c r="F45" s="90"/>
      <c r="G45" s="89"/>
      <c r="H45" s="89"/>
      <c r="I45" s="105"/>
      <c r="J45" s="105"/>
      <c r="K45" s="105"/>
      <c r="L45" s="89"/>
      <c r="M45" s="105"/>
      <c r="N45" s="90"/>
      <c r="O45" s="90"/>
      <c r="P45" s="90"/>
      <c r="Q45" s="90"/>
      <c r="R45" s="90"/>
      <c r="S45" s="91"/>
      <c r="T45" s="91"/>
      <c r="U45" s="90"/>
      <c r="V45" s="90"/>
      <c r="W45" s="93"/>
      <c r="X45" s="94"/>
      <c r="Y45" s="92"/>
      <c r="Z45" s="92"/>
      <c r="AA45" s="95"/>
      <c r="AB45" s="90"/>
      <c r="AC45" s="96"/>
    </row>
    <row r="46" spans="1:29" ht="25.5">
      <c r="A46" s="78" t="s">
        <v>522</v>
      </c>
      <c r="B46" s="79"/>
      <c r="C46" s="88"/>
      <c r="D46" s="79"/>
      <c r="E46" s="79"/>
      <c r="F46" s="81"/>
      <c r="G46" s="82"/>
      <c r="H46" s="82"/>
      <c r="I46" s="82"/>
      <c r="J46" s="82"/>
      <c r="K46" s="82"/>
      <c r="L46" s="82"/>
      <c r="M46" s="82"/>
      <c r="N46" s="81"/>
      <c r="O46" s="81"/>
      <c r="P46" s="81"/>
      <c r="Q46" s="81"/>
      <c r="R46" s="81"/>
      <c r="S46" s="81"/>
      <c r="T46" s="81"/>
      <c r="U46" s="81"/>
      <c r="V46" s="81"/>
      <c r="W46" s="84"/>
      <c r="X46" s="85"/>
      <c r="Y46" s="83"/>
      <c r="Z46" s="83"/>
      <c r="AA46" s="85"/>
      <c r="AB46" s="81"/>
      <c r="AC46" s="86"/>
    </row>
    <row r="47" spans="1:29" ht="12.75">
      <c r="A47" s="87"/>
      <c r="B47" s="64" t="s">
        <v>523</v>
      </c>
      <c r="C47" s="88">
        <f t="shared" si="10"/>
        <v>10</v>
      </c>
      <c r="D47" s="64" t="s">
        <v>611</v>
      </c>
      <c r="E47" s="64" t="str">
        <f aca="true" t="shared" si="11" ref="E47:E66">VLOOKUP(S47,size,3)</f>
        <v>Capital</v>
      </c>
      <c r="F47" s="90" t="s">
        <v>612</v>
      </c>
      <c r="G47" s="89"/>
      <c r="H47" s="89"/>
      <c r="I47" s="105">
        <v>2</v>
      </c>
      <c r="J47" s="105">
        <v>0</v>
      </c>
      <c r="K47" s="105">
        <v>6</v>
      </c>
      <c r="L47" s="105">
        <v>0</v>
      </c>
      <c r="M47" s="105">
        <v>1</v>
      </c>
      <c r="N47" s="90" t="s">
        <v>2</v>
      </c>
      <c r="O47" s="90"/>
      <c r="P47" s="90"/>
      <c r="Q47" s="90"/>
      <c r="R47" s="90"/>
      <c r="S47" s="91">
        <f t="shared" si="5"/>
        <v>24</v>
      </c>
      <c r="T47" s="91">
        <f aca="true" t="shared" si="12" ref="T47:T66">VLOOKUP(S47,size,2)</f>
        <v>12</v>
      </c>
      <c r="U47" s="105">
        <v>3</v>
      </c>
      <c r="V47" s="105">
        <v>10</v>
      </c>
      <c r="W47" s="93">
        <f t="shared" si="6"/>
        <v>3.3333333333333335</v>
      </c>
      <c r="X47" s="94">
        <f t="shared" si="3"/>
        <v>-2</v>
      </c>
      <c r="Y47" s="92"/>
      <c r="Z47" s="92"/>
      <c r="AA47" s="95">
        <f aca="true" t="shared" si="13" ref="AA47:AA66">ROUND(T47+X47+Y47+Z47,0)</f>
        <v>10</v>
      </c>
      <c r="AB47" s="105">
        <v>4</v>
      </c>
      <c r="AC47" s="104">
        <v>3</v>
      </c>
    </row>
    <row r="48" spans="1:29" ht="12.75">
      <c r="A48" s="87"/>
      <c r="B48" s="64" t="s">
        <v>928</v>
      </c>
      <c r="C48" s="88">
        <f>AA48</f>
        <v>10</v>
      </c>
      <c r="D48" s="64" t="s">
        <v>611</v>
      </c>
      <c r="E48" s="64" t="str">
        <f>VLOOKUP(S48,size,3)</f>
        <v>Capital</v>
      </c>
      <c r="F48" s="90" t="s">
        <v>612</v>
      </c>
      <c r="G48" s="89"/>
      <c r="H48" s="89"/>
      <c r="I48" s="105">
        <v>2</v>
      </c>
      <c r="J48" s="105">
        <v>0</v>
      </c>
      <c r="K48" s="105">
        <v>6</v>
      </c>
      <c r="L48" s="105">
        <v>0</v>
      </c>
      <c r="M48" s="105">
        <v>1</v>
      </c>
      <c r="N48" s="90" t="s">
        <v>2</v>
      </c>
      <c r="O48" s="90"/>
      <c r="P48" s="90"/>
      <c r="Q48" s="90"/>
      <c r="R48" s="90"/>
      <c r="S48" s="91">
        <f>ROUND(G$2*G48+H$2*H48+I$2*I48+J$2*J48+K$2*K48+L$2*L48+M$2*M48+IF(N48="Y",N$2,0)+IF(O48="Y",O$2,0)+P$2*P48+R48,0)</f>
        <v>24</v>
      </c>
      <c r="T48" s="91">
        <f t="shared" si="12"/>
        <v>12</v>
      </c>
      <c r="U48" s="105">
        <v>3</v>
      </c>
      <c r="V48" s="105">
        <v>10</v>
      </c>
      <c r="W48" s="93">
        <f>V48/U48</f>
        <v>3.3333333333333335</v>
      </c>
      <c r="X48" s="94">
        <f>-ROUND(V48/U48/2,0)</f>
        <v>-2</v>
      </c>
      <c r="Y48" s="92"/>
      <c r="Z48" s="92"/>
      <c r="AA48" s="95">
        <f>ROUND(T48+X48+Y48+Z48,0)</f>
        <v>10</v>
      </c>
      <c r="AB48" s="105">
        <v>4</v>
      </c>
      <c r="AC48" s="104">
        <v>3</v>
      </c>
    </row>
    <row r="49" spans="1:29" ht="12.75">
      <c r="A49" s="87"/>
      <c r="B49" s="64" t="s">
        <v>1008</v>
      </c>
      <c r="C49" s="88">
        <f t="shared" si="10"/>
        <v>14</v>
      </c>
      <c r="D49" s="64" t="s">
        <v>621</v>
      </c>
      <c r="E49" s="64" t="str">
        <f t="shared" si="11"/>
        <v>Capital</v>
      </c>
      <c r="F49" s="90" t="s">
        <v>653</v>
      </c>
      <c r="G49" s="89"/>
      <c r="H49" s="89"/>
      <c r="I49" s="105">
        <v>0</v>
      </c>
      <c r="J49" s="105">
        <v>0</v>
      </c>
      <c r="K49" s="105">
        <v>5</v>
      </c>
      <c r="L49" s="105">
        <v>2</v>
      </c>
      <c r="M49" s="105">
        <v>6</v>
      </c>
      <c r="N49" s="90" t="s">
        <v>2</v>
      </c>
      <c r="O49" s="90"/>
      <c r="P49" s="90"/>
      <c r="Q49" s="90"/>
      <c r="R49" s="90"/>
      <c r="S49" s="91">
        <f t="shared" si="5"/>
        <v>40</v>
      </c>
      <c r="T49" s="91">
        <f t="shared" si="12"/>
        <v>15</v>
      </c>
      <c r="U49" s="105">
        <v>4</v>
      </c>
      <c r="V49" s="105">
        <v>10</v>
      </c>
      <c r="W49" s="93">
        <f t="shared" si="6"/>
        <v>2.5</v>
      </c>
      <c r="X49" s="94">
        <f t="shared" si="3"/>
        <v>-1</v>
      </c>
      <c r="Y49" s="92"/>
      <c r="Z49" s="92"/>
      <c r="AA49" s="95">
        <f t="shared" si="13"/>
        <v>14</v>
      </c>
      <c r="AB49" s="90" t="s">
        <v>654</v>
      </c>
      <c r="AC49" s="96" t="s">
        <v>654</v>
      </c>
    </row>
    <row r="50" spans="1:29" ht="12.75">
      <c r="A50" s="87"/>
      <c r="B50" s="64" t="s">
        <v>525</v>
      </c>
      <c r="C50" s="88">
        <f t="shared" si="10"/>
        <v>10</v>
      </c>
      <c r="D50" s="64" t="s">
        <v>469</v>
      </c>
      <c r="E50" s="64" t="str">
        <f t="shared" si="11"/>
        <v>Capital</v>
      </c>
      <c r="F50" s="90" t="s">
        <v>643</v>
      </c>
      <c r="G50" s="89"/>
      <c r="H50" s="89"/>
      <c r="I50" s="105">
        <v>3</v>
      </c>
      <c r="J50" s="105">
        <v>0</v>
      </c>
      <c r="K50" s="105">
        <v>6</v>
      </c>
      <c r="L50" s="105">
        <v>0</v>
      </c>
      <c r="M50" s="105">
        <v>0</v>
      </c>
      <c r="N50" s="90" t="s">
        <v>2</v>
      </c>
      <c r="O50" s="90"/>
      <c r="P50" s="90"/>
      <c r="Q50" s="90"/>
      <c r="R50" s="90"/>
      <c r="S50" s="91">
        <f t="shared" si="5"/>
        <v>23</v>
      </c>
      <c r="T50" s="91">
        <f t="shared" si="12"/>
        <v>12</v>
      </c>
      <c r="U50" s="105">
        <v>3</v>
      </c>
      <c r="V50" s="105">
        <v>12</v>
      </c>
      <c r="W50" s="93">
        <f t="shared" si="6"/>
        <v>4</v>
      </c>
      <c r="X50" s="94">
        <f t="shared" si="3"/>
        <v>-2</v>
      </c>
      <c r="Y50" s="92"/>
      <c r="Z50" s="92"/>
      <c r="AA50" s="95">
        <f t="shared" si="13"/>
        <v>10</v>
      </c>
      <c r="AB50" s="90" t="s">
        <v>654</v>
      </c>
      <c r="AC50" s="96" t="s">
        <v>655</v>
      </c>
    </row>
    <row r="51" spans="1:29" ht="12.75">
      <c r="A51" s="87"/>
      <c r="B51" s="64" t="s">
        <v>656</v>
      </c>
      <c r="C51" s="88">
        <f t="shared" si="10"/>
        <v>6</v>
      </c>
      <c r="D51" s="99" t="s">
        <v>611</v>
      </c>
      <c r="E51" s="64" t="str">
        <f t="shared" si="11"/>
        <v>Medium</v>
      </c>
      <c r="F51" s="90" t="s">
        <v>650</v>
      </c>
      <c r="G51" s="89"/>
      <c r="H51" s="89"/>
      <c r="I51" s="105">
        <v>0</v>
      </c>
      <c r="J51" s="105">
        <v>0</v>
      </c>
      <c r="K51" s="105">
        <v>4</v>
      </c>
      <c r="L51" s="105">
        <v>4</v>
      </c>
      <c r="M51" s="105">
        <v>0</v>
      </c>
      <c r="N51" s="90" t="s">
        <v>2</v>
      </c>
      <c r="O51" s="90" t="s">
        <v>2</v>
      </c>
      <c r="P51" s="90"/>
      <c r="Q51" s="90"/>
      <c r="R51" s="90"/>
      <c r="S51" s="91">
        <f t="shared" si="5"/>
        <v>10</v>
      </c>
      <c r="T51" s="91">
        <f t="shared" si="12"/>
        <v>8</v>
      </c>
      <c r="U51" s="105">
        <v>2</v>
      </c>
      <c r="V51" s="105">
        <v>8</v>
      </c>
      <c r="W51" s="93">
        <f t="shared" si="6"/>
        <v>4</v>
      </c>
      <c r="X51" s="94">
        <f t="shared" si="3"/>
        <v>-2</v>
      </c>
      <c r="Y51" s="92"/>
      <c r="Z51" s="92"/>
      <c r="AA51" s="95">
        <f t="shared" si="13"/>
        <v>6</v>
      </c>
      <c r="AB51" s="105">
        <v>5</v>
      </c>
      <c r="AC51" s="104">
        <v>4</v>
      </c>
    </row>
    <row r="52" spans="1:29" ht="12.75">
      <c r="A52" s="87"/>
      <c r="B52" s="64" t="s">
        <v>526</v>
      </c>
      <c r="C52" s="88">
        <f t="shared" si="10"/>
        <v>9</v>
      </c>
      <c r="D52" s="64" t="s">
        <v>469</v>
      </c>
      <c r="E52" s="64" t="str">
        <f t="shared" si="11"/>
        <v>Capital</v>
      </c>
      <c r="F52" s="90" t="s">
        <v>657</v>
      </c>
      <c r="G52" s="89"/>
      <c r="H52" s="89"/>
      <c r="I52" s="105">
        <v>2</v>
      </c>
      <c r="J52" s="105">
        <v>0</v>
      </c>
      <c r="K52" s="105">
        <v>8</v>
      </c>
      <c r="L52" s="105">
        <v>0</v>
      </c>
      <c r="M52" s="105">
        <v>2</v>
      </c>
      <c r="N52" s="90" t="s">
        <v>2</v>
      </c>
      <c r="O52" s="90" t="s">
        <v>2</v>
      </c>
      <c r="P52" s="90"/>
      <c r="Q52" s="90"/>
      <c r="R52" s="90"/>
      <c r="S52" s="91">
        <f t="shared" si="5"/>
        <v>31</v>
      </c>
      <c r="T52" s="91">
        <f t="shared" si="12"/>
        <v>14</v>
      </c>
      <c r="U52" s="105">
        <v>4</v>
      </c>
      <c r="V52" s="105">
        <v>12</v>
      </c>
      <c r="W52" s="93">
        <f t="shared" si="6"/>
        <v>3</v>
      </c>
      <c r="X52" s="94">
        <f t="shared" si="3"/>
        <v>-2</v>
      </c>
      <c r="Y52" s="106">
        <v>-3</v>
      </c>
      <c r="Z52" s="106"/>
      <c r="AA52" s="95">
        <f t="shared" si="13"/>
        <v>9</v>
      </c>
      <c r="AB52" s="105">
        <v>5</v>
      </c>
      <c r="AC52" s="104">
        <v>5</v>
      </c>
    </row>
    <row r="53" spans="1:29" ht="12.75">
      <c r="A53" s="87"/>
      <c r="B53" s="64" t="s">
        <v>527</v>
      </c>
      <c r="C53" s="88">
        <f t="shared" si="10"/>
        <v>7</v>
      </c>
      <c r="D53" s="64" t="s">
        <v>611</v>
      </c>
      <c r="E53" s="64" t="str">
        <f t="shared" si="11"/>
        <v>HCV</v>
      </c>
      <c r="F53" s="90" t="s">
        <v>658</v>
      </c>
      <c r="G53" s="89"/>
      <c r="H53" s="89"/>
      <c r="I53" s="105">
        <v>2</v>
      </c>
      <c r="J53" s="105">
        <v>0</v>
      </c>
      <c r="K53" s="105">
        <v>2</v>
      </c>
      <c r="L53" s="89"/>
      <c r="M53" s="105">
        <v>0</v>
      </c>
      <c r="N53" s="90" t="s">
        <v>2</v>
      </c>
      <c r="O53" s="90"/>
      <c r="P53" s="90"/>
      <c r="Q53" s="90"/>
      <c r="R53" s="90"/>
      <c r="S53" s="91">
        <f t="shared" si="5"/>
        <v>15</v>
      </c>
      <c r="T53" s="91">
        <f t="shared" si="12"/>
        <v>10</v>
      </c>
      <c r="U53" s="105">
        <v>2</v>
      </c>
      <c r="V53" s="105">
        <v>12</v>
      </c>
      <c r="W53" s="93">
        <f t="shared" si="6"/>
        <v>6</v>
      </c>
      <c r="X53" s="94">
        <f t="shared" si="3"/>
        <v>-3</v>
      </c>
      <c r="Y53" s="92"/>
      <c r="Z53" s="92"/>
      <c r="AA53" s="95">
        <f t="shared" si="13"/>
        <v>7</v>
      </c>
      <c r="AB53" s="105">
        <v>4</v>
      </c>
      <c r="AC53" s="104">
        <v>3</v>
      </c>
    </row>
    <row r="54" spans="1:29" ht="12.75">
      <c r="A54" s="87"/>
      <c r="B54" s="64" t="s">
        <v>901</v>
      </c>
      <c r="C54" s="88">
        <f t="shared" si="10"/>
        <v>9</v>
      </c>
      <c r="D54" s="64" t="s">
        <v>611</v>
      </c>
      <c r="E54" s="64" t="str">
        <f t="shared" si="11"/>
        <v>Capital</v>
      </c>
      <c r="F54" s="90" t="s">
        <v>659</v>
      </c>
      <c r="G54" s="89"/>
      <c r="H54" s="89"/>
      <c r="I54" s="105">
        <v>3</v>
      </c>
      <c r="J54" s="105"/>
      <c r="K54" s="105">
        <v>1</v>
      </c>
      <c r="L54" s="89"/>
      <c r="M54" s="105">
        <v>1</v>
      </c>
      <c r="N54" s="90" t="s">
        <v>2</v>
      </c>
      <c r="O54" s="90"/>
      <c r="P54" s="90"/>
      <c r="Q54" s="90"/>
      <c r="R54" s="90"/>
      <c r="S54" s="91">
        <f t="shared" si="5"/>
        <v>23</v>
      </c>
      <c r="T54" s="91">
        <f t="shared" si="12"/>
        <v>12</v>
      </c>
      <c r="U54" s="105">
        <v>2</v>
      </c>
      <c r="V54" s="105">
        <v>10</v>
      </c>
      <c r="W54" s="93">
        <f t="shared" si="6"/>
        <v>5</v>
      </c>
      <c r="X54" s="94">
        <f t="shared" si="3"/>
        <v>-3</v>
      </c>
      <c r="Y54" s="92"/>
      <c r="Z54" s="92"/>
      <c r="AA54" s="95">
        <f t="shared" si="13"/>
        <v>9</v>
      </c>
      <c r="AB54" s="90" t="s">
        <v>655</v>
      </c>
      <c r="AC54" s="96" t="s">
        <v>660</v>
      </c>
    </row>
    <row r="55" spans="1:29" ht="12.75">
      <c r="A55" s="87"/>
      <c r="B55" s="64" t="s">
        <v>528</v>
      </c>
      <c r="C55" s="88">
        <f>AA55</f>
        <v>9</v>
      </c>
      <c r="D55" s="64" t="s">
        <v>611</v>
      </c>
      <c r="E55" s="64" t="str">
        <f>VLOOKUP(S55,size,3)</f>
        <v>HCV</v>
      </c>
      <c r="F55" s="90" t="s">
        <v>659</v>
      </c>
      <c r="G55" s="89"/>
      <c r="H55" s="89"/>
      <c r="I55" s="105">
        <v>3</v>
      </c>
      <c r="J55" s="105">
        <v>0</v>
      </c>
      <c r="K55" s="105">
        <v>1</v>
      </c>
      <c r="L55" s="89"/>
      <c r="M55" s="105">
        <v>0</v>
      </c>
      <c r="N55" s="90" t="s">
        <v>2</v>
      </c>
      <c r="O55" s="90"/>
      <c r="P55" s="90"/>
      <c r="Q55" s="90"/>
      <c r="R55" s="90"/>
      <c r="S55" s="91">
        <f>ROUND(G$2*G55+H$2*H55+I$2*I55+J$2*J55+K$2*K55+L$2*L55+M$2*M55+IF(N55="Y",N$2,0)+IF(O55="Y",O$2,0)+P$2*P55+R55,0)</f>
        <v>18</v>
      </c>
      <c r="T55" s="91">
        <f t="shared" si="12"/>
        <v>11</v>
      </c>
      <c r="U55" s="105">
        <v>3</v>
      </c>
      <c r="V55" s="105">
        <v>12</v>
      </c>
      <c r="W55" s="93">
        <f>V55/U55</f>
        <v>4</v>
      </c>
      <c r="X55" s="94">
        <f>-ROUND(V55/U55/2,0)</f>
        <v>-2</v>
      </c>
      <c r="Y55" s="92"/>
      <c r="Z55" s="92"/>
      <c r="AA55" s="95">
        <f>ROUND(T55+X55+Y55+Z55,0)</f>
        <v>9</v>
      </c>
      <c r="AB55" s="90" t="s">
        <v>655</v>
      </c>
      <c r="AC55" s="96" t="s">
        <v>660</v>
      </c>
    </row>
    <row r="56" spans="1:29" ht="12.75">
      <c r="A56" s="87"/>
      <c r="B56" s="64" t="s">
        <v>529</v>
      </c>
      <c r="C56" s="88">
        <f t="shared" si="10"/>
        <v>2</v>
      </c>
      <c r="D56" s="64" t="s">
        <v>632</v>
      </c>
      <c r="E56" s="64" t="str">
        <f t="shared" si="11"/>
        <v>LCV</v>
      </c>
      <c r="F56" s="90" t="s">
        <v>661</v>
      </c>
      <c r="G56" s="89"/>
      <c r="H56" s="89"/>
      <c r="I56" s="105">
        <v>0</v>
      </c>
      <c r="J56" s="105">
        <v>0</v>
      </c>
      <c r="K56" s="105">
        <v>5</v>
      </c>
      <c r="L56" s="105">
        <v>0</v>
      </c>
      <c r="M56" s="105">
        <v>0</v>
      </c>
      <c r="N56" s="90"/>
      <c r="O56" s="90"/>
      <c r="P56" s="90"/>
      <c r="Q56" s="90"/>
      <c r="R56" s="90"/>
      <c r="S56" s="91">
        <f t="shared" si="5"/>
        <v>5</v>
      </c>
      <c r="T56" s="91">
        <f t="shared" si="12"/>
        <v>6</v>
      </c>
      <c r="U56" s="105">
        <v>2</v>
      </c>
      <c r="V56" s="105">
        <v>10</v>
      </c>
      <c r="W56" s="93">
        <f t="shared" si="6"/>
        <v>5</v>
      </c>
      <c r="X56" s="94">
        <f t="shared" si="3"/>
        <v>-3</v>
      </c>
      <c r="Y56" s="92"/>
      <c r="Z56" s="92">
        <v>-1</v>
      </c>
      <c r="AA56" s="95">
        <f t="shared" si="13"/>
        <v>2</v>
      </c>
      <c r="AB56" s="105">
        <v>4</v>
      </c>
      <c r="AC56" s="104">
        <v>1</v>
      </c>
    </row>
    <row r="57" spans="1:29" ht="12.75">
      <c r="A57" s="87"/>
      <c r="B57" s="64" t="s">
        <v>662</v>
      </c>
      <c r="C57" s="88">
        <f t="shared" si="10"/>
        <v>2</v>
      </c>
      <c r="D57" s="64" t="s">
        <v>617</v>
      </c>
      <c r="E57" s="64" t="str">
        <f t="shared" si="11"/>
        <v>Fighter</v>
      </c>
      <c r="F57" s="90"/>
      <c r="G57" s="89"/>
      <c r="H57" s="89"/>
      <c r="I57" s="89"/>
      <c r="J57" s="89"/>
      <c r="K57" s="89"/>
      <c r="L57" s="89"/>
      <c r="M57" s="89"/>
      <c r="N57" s="90"/>
      <c r="O57" s="90"/>
      <c r="P57" s="90"/>
      <c r="Q57" s="90"/>
      <c r="R57" s="90"/>
      <c r="S57" s="91">
        <f t="shared" si="5"/>
        <v>0</v>
      </c>
      <c r="T57" s="91">
        <f t="shared" si="12"/>
        <v>2</v>
      </c>
      <c r="U57" s="90">
        <v>1</v>
      </c>
      <c r="V57" s="90">
        <v>0</v>
      </c>
      <c r="W57" s="93">
        <f t="shared" si="6"/>
        <v>0</v>
      </c>
      <c r="X57" s="94">
        <f t="shared" si="3"/>
        <v>0</v>
      </c>
      <c r="Y57" s="92"/>
      <c r="Z57" s="92"/>
      <c r="AA57" s="95">
        <f t="shared" si="13"/>
        <v>2</v>
      </c>
      <c r="AB57" s="105">
        <v>5</v>
      </c>
      <c r="AC57" s="96"/>
    </row>
    <row r="58" spans="1:29" ht="12.75">
      <c r="A58" s="87"/>
      <c r="B58" s="64" t="s">
        <v>530</v>
      </c>
      <c r="C58" s="88">
        <f t="shared" si="10"/>
        <v>7</v>
      </c>
      <c r="D58" s="64" t="s">
        <v>611</v>
      </c>
      <c r="E58" s="64" t="str">
        <f t="shared" si="11"/>
        <v>Medium</v>
      </c>
      <c r="F58" s="90" t="s">
        <v>663</v>
      </c>
      <c r="G58" s="89"/>
      <c r="H58" s="89"/>
      <c r="I58" s="105">
        <v>0</v>
      </c>
      <c r="J58" s="105">
        <v>0</v>
      </c>
      <c r="K58" s="105">
        <v>8</v>
      </c>
      <c r="L58" s="105">
        <v>0</v>
      </c>
      <c r="M58" s="105">
        <v>0</v>
      </c>
      <c r="N58" s="90"/>
      <c r="O58" s="90"/>
      <c r="P58" s="90"/>
      <c r="Q58" s="90"/>
      <c r="R58" s="90"/>
      <c r="S58" s="91">
        <f t="shared" si="5"/>
        <v>8</v>
      </c>
      <c r="T58" s="91">
        <f t="shared" si="12"/>
        <v>8</v>
      </c>
      <c r="U58" s="105">
        <v>3</v>
      </c>
      <c r="V58" s="105">
        <v>8</v>
      </c>
      <c r="W58" s="93">
        <f t="shared" si="6"/>
        <v>2.6666666666666665</v>
      </c>
      <c r="X58" s="94">
        <f t="shared" si="3"/>
        <v>-1</v>
      </c>
      <c r="Y58" s="92"/>
      <c r="Z58" s="92"/>
      <c r="AA58" s="95">
        <f t="shared" si="13"/>
        <v>7</v>
      </c>
      <c r="AB58" s="105">
        <v>5</v>
      </c>
      <c r="AC58" s="104">
        <v>3</v>
      </c>
    </row>
    <row r="59" spans="1:29" ht="12.75">
      <c r="A59" s="87"/>
      <c r="B59" s="64" t="s">
        <v>664</v>
      </c>
      <c r="C59" s="88">
        <f t="shared" si="10"/>
        <v>13</v>
      </c>
      <c r="D59" s="64" t="s">
        <v>469</v>
      </c>
      <c r="E59" s="64" t="str">
        <f t="shared" si="11"/>
        <v>Capital</v>
      </c>
      <c r="F59" s="90" t="s">
        <v>612</v>
      </c>
      <c r="G59" s="89"/>
      <c r="H59" s="89"/>
      <c r="I59" s="105">
        <v>0</v>
      </c>
      <c r="J59" s="105">
        <v>0</v>
      </c>
      <c r="K59" s="105">
        <v>4</v>
      </c>
      <c r="L59" s="105">
        <v>0</v>
      </c>
      <c r="M59" s="89">
        <v>0</v>
      </c>
      <c r="N59" s="90" t="s">
        <v>2</v>
      </c>
      <c r="O59" s="90"/>
      <c r="P59" s="90">
        <v>4</v>
      </c>
      <c r="Q59" s="90" t="s">
        <v>665</v>
      </c>
      <c r="R59" s="90">
        <v>5</v>
      </c>
      <c r="S59" s="91">
        <f t="shared" si="5"/>
        <v>34</v>
      </c>
      <c r="T59" s="91">
        <f t="shared" si="12"/>
        <v>14</v>
      </c>
      <c r="U59" s="105">
        <v>4</v>
      </c>
      <c r="V59" s="105">
        <v>10</v>
      </c>
      <c r="W59" s="93">
        <f t="shared" si="6"/>
        <v>2.5</v>
      </c>
      <c r="X59" s="94">
        <f t="shared" si="3"/>
        <v>-1</v>
      </c>
      <c r="Y59" s="92"/>
      <c r="Z59" s="92"/>
      <c r="AA59" s="95">
        <f t="shared" si="13"/>
        <v>13</v>
      </c>
      <c r="AB59" s="105">
        <v>5</v>
      </c>
      <c r="AC59" s="104">
        <v>4</v>
      </c>
    </row>
    <row r="60" spans="1:29" ht="12.75">
      <c r="A60" s="87"/>
      <c r="B60" s="64" t="s">
        <v>666</v>
      </c>
      <c r="C60" s="88">
        <f t="shared" si="10"/>
        <v>2</v>
      </c>
      <c r="D60" s="64" t="s">
        <v>617</v>
      </c>
      <c r="E60" s="64" t="str">
        <f t="shared" si="11"/>
        <v>Fighter</v>
      </c>
      <c r="F60" s="90" t="s">
        <v>667</v>
      </c>
      <c r="G60" s="89"/>
      <c r="H60" s="89"/>
      <c r="I60" s="89"/>
      <c r="J60" s="89"/>
      <c r="K60" s="89"/>
      <c r="L60" s="89"/>
      <c r="M60" s="89"/>
      <c r="N60" s="90"/>
      <c r="O60" s="90"/>
      <c r="P60" s="90"/>
      <c r="Q60" s="90"/>
      <c r="R60" s="90"/>
      <c r="S60" s="91">
        <f t="shared" si="5"/>
        <v>0</v>
      </c>
      <c r="T60" s="91">
        <f t="shared" si="12"/>
        <v>2</v>
      </c>
      <c r="U60" s="90">
        <v>1</v>
      </c>
      <c r="V60" s="90">
        <v>0</v>
      </c>
      <c r="W60" s="93">
        <f t="shared" si="6"/>
        <v>0</v>
      </c>
      <c r="X60" s="94">
        <f t="shared" si="3"/>
        <v>0</v>
      </c>
      <c r="Y60" s="92"/>
      <c r="Z60" s="92"/>
      <c r="AA60" s="95">
        <f t="shared" si="13"/>
        <v>2</v>
      </c>
      <c r="AB60" s="105">
        <v>4</v>
      </c>
      <c r="AC60" s="96"/>
    </row>
    <row r="61" spans="1:29" ht="12.75">
      <c r="A61" s="87"/>
      <c r="B61" s="64" t="s">
        <v>531</v>
      </c>
      <c r="C61" s="88">
        <f t="shared" si="10"/>
        <v>2</v>
      </c>
      <c r="D61" s="64" t="s">
        <v>12</v>
      </c>
      <c r="E61" s="64" t="str">
        <f t="shared" si="11"/>
        <v>LCV</v>
      </c>
      <c r="F61" s="90" t="s">
        <v>668</v>
      </c>
      <c r="G61" s="89"/>
      <c r="H61" s="89"/>
      <c r="I61" s="105">
        <v>0</v>
      </c>
      <c r="J61" s="105">
        <v>0</v>
      </c>
      <c r="K61" s="105">
        <v>4</v>
      </c>
      <c r="L61" s="105">
        <v>3</v>
      </c>
      <c r="M61" s="105">
        <v>0</v>
      </c>
      <c r="N61" s="90"/>
      <c r="O61" s="90"/>
      <c r="P61" s="90"/>
      <c r="Q61" s="90"/>
      <c r="R61" s="90"/>
      <c r="S61" s="91">
        <f t="shared" si="5"/>
        <v>5</v>
      </c>
      <c r="T61" s="91">
        <f t="shared" si="12"/>
        <v>6</v>
      </c>
      <c r="U61" s="105">
        <v>2</v>
      </c>
      <c r="V61" s="105">
        <v>10</v>
      </c>
      <c r="W61" s="93">
        <f t="shared" si="6"/>
        <v>5</v>
      </c>
      <c r="X61" s="94">
        <f t="shared" si="3"/>
        <v>-3</v>
      </c>
      <c r="Y61" s="92"/>
      <c r="Z61" s="92">
        <v>-1</v>
      </c>
      <c r="AA61" s="95">
        <f t="shared" si="13"/>
        <v>2</v>
      </c>
      <c r="AB61" s="105">
        <v>5</v>
      </c>
      <c r="AC61" s="104">
        <v>2</v>
      </c>
    </row>
    <row r="62" spans="1:29" ht="12.75">
      <c r="A62" s="87"/>
      <c r="B62" s="64" t="s">
        <v>532</v>
      </c>
      <c r="C62" s="88">
        <f t="shared" si="10"/>
        <v>3</v>
      </c>
      <c r="D62" s="64" t="s">
        <v>12</v>
      </c>
      <c r="E62" s="64" t="str">
        <f t="shared" si="11"/>
        <v>Medium</v>
      </c>
      <c r="F62" s="90" t="s">
        <v>194</v>
      </c>
      <c r="G62" s="89"/>
      <c r="H62" s="89"/>
      <c r="I62" s="105">
        <v>0</v>
      </c>
      <c r="J62" s="105">
        <v>1</v>
      </c>
      <c r="K62" s="105">
        <v>4</v>
      </c>
      <c r="L62" s="105">
        <v>1</v>
      </c>
      <c r="M62" s="105">
        <v>0</v>
      </c>
      <c r="N62" s="90"/>
      <c r="O62" s="90"/>
      <c r="P62" s="90"/>
      <c r="Q62" s="90"/>
      <c r="R62" s="90"/>
      <c r="S62" s="91">
        <f t="shared" si="5"/>
        <v>6</v>
      </c>
      <c r="T62" s="91">
        <f t="shared" si="12"/>
        <v>7</v>
      </c>
      <c r="U62" s="105">
        <v>2</v>
      </c>
      <c r="V62" s="105">
        <v>10</v>
      </c>
      <c r="W62" s="93">
        <f t="shared" si="6"/>
        <v>5</v>
      </c>
      <c r="X62" s="94">
        <f t="shared" si="3"/>
        <v>-3</v>
      </c>
      <c r="Y62" s="92"/>
      <c r="Z62" s="92">
        <v>-1</v>
      </c>
      <c r="AA62" s="95">
        <f t="shared" si="13"/>
        <v>3</v>
      </c>
      <c r="AB62" s="105">
        <v>5</v>
      </c>
      <c r="AC62" s="104">
        <v>2</v>
      </c>
    </row>
    <row r="63" spans="1:29" ht="12.75">
      <c r="A63" s="87"/>
      <c r="B63" s="64" t="s">
        <v>533</v>
      </c>
      <c r="C63" s="88">
        <f t="shared" si="10"/>
        <v>17</v>
      </c>
      <c r="D63" s="64" t="s">
        <v>614</v>
      </c>
      <c r="E63" s="64" t="str">
        <f t="shared" si="11"/>
        <v>Carrier</v>
      </c>
      <c r="F63" s="90" t="s">
        <v>669</v>
      </c>
      <c r="G63" s="89"/>
      <c r="H63" s="89"/>
      <c r="I63" s="105">
        <v>6</v>
      </c>
      <c r="J63" s="105">
        <v>0</v>
      </c>
      <c r="K63" s="105">
        <v>16</v>
      </c>
      <c r="L63" s="105">
        <v>0</v>
      </c>
      <c r="M63" s="105">
        <v>4</v>
      </c>
      <c r="N63" s="90" t="s">
        <v>2</v>
      </c>
      <c r="O63" s="90"/>
      <c r="P63" s="90"/>
      <c r="Q63" s="90"/>
      <c r="R63" s="90"/>
      <c r="S63" s="91">
        <f t="shared" si="5"/>
        <v>65</v>
      </c>
      <c r="T63" s="91">
        <f t="shared" si="12"/>
        <v>18</v>
      </c>
      <c r="U63" s="105">
        <v>4</v>
      </c>
      <c r="V63" s="105">
        <v>10</v>
      </c>
      <c r="W63" s="93">
        <f t="shared" si="6"/>
        <v>2.5</v>
      </c>
      <c r="X63" s="94">
        <f t="shared" si="3"/>
        <v>-1</v>
      </c>
      <c r="Y63" s="92"/>
      <c r="Z63" s="92"/>
      <c r="AA63" s="95">
        <f t="shared" si="13"/>
        <v>17</v>
      </c>
      <c r="AB63" s="90" t="s">
        <v>654</v>
      </c>
      <c r="AC63" s="96" t="s">
        <v>654</v>
      </c>
    </row>
    <row r="64" spans="1:29" ht="12.75">
      <c r="A64" s="87"/>
      <c r="B64" s="64" t="s">
        <v>534</v>
      </c>
      <c r="C64" s="88">
        <f t="shared" si="10"/>
        <v>15</v>
      </c>
      <c r="D64" s="64" t="s">
        <v>621</v>
      </c>
      <c r="E64" s="64" t="str">
        <f t="shared" si="11"/>
        <v>Carrier</v>
      </c>
      <c r="F64" s="90" t="s">
        <v>623</v>
      </c>
      <c r="G64" s="89"/>
      <c r="H64" s="89"/>
      <c r="I64" s="105">
        <v>8</v>
      </c>
      <c r="J64" s="105">
        <v>0</v>
      </c>
      <c r="K64" s="105">
        <v>4</v>
      </c>
      <c r="L64" s="105">
        <v>0</v>
      </c>
      <c r="M64" s="105">
        <v>2</v>
      </c>
      <c r="N64" s="90" t="s">
        <v>2</v>
      </c>
      <c r="O64" s="90"/>
      <c r="P64" s="90"/>
      <c r="Q64" s="90"/>
      <c r="R64" s="90"/>
      <c r="S64" s="91">
        <f t="shared" si="5"/>
        <v>51</v>
      </c>
      <c r="T64" s="91">
        <f t="shared" si="12"/>
        <v>17</v>
      </c>
      <c r="U64" s="105">
        <v>3</v>
      </c>
      <c r="V64" s="105">
        <v>10</v>
      </c>
      <c r="W64" s="93">
        <f t="shared" si="6"/>
        <v>3.3333333333333335</v>
      </c>
      <c r="X64" s="94">
        <f t="shared" si="3"/>
        <v>-2</v>
      </c>
      <c r="Y64" s="92"/>
      <c r="Z64" s="92"/>
      <c r="AA64" s="95">
        <f t="shared" si="13"/>
        <v>15</v>
      </c>
      <c r="AB64" s="105">
        <v>5</v>
      </c>
      <c r="AC64" s="104">
        <v>5</v>
      </c>
    </row>
    <row r="65" spans="1:29" ht="12.75">
      <c r="A65" s="87"/>
      <c r="B65" s="64" t="s">
        <v>535</v>
      </c>
      <c r="C65" s="88">
        <f t="shared" si="10"/>
        <v>5</v>
      </c>
      <c r="D65" s="64" t="s">
        <v>611</v>
      </c>
      <c r="E65" s="64" t="str">
        <f t="shared" si="11"/>
        <v>Medium</v>
      </c>
      <c r="F65" s="90" t="s">
        <v>622</v>
      </c>
      <c r="G65" s="89"/>
      <c r="H65" s="89"/>
      <c r="I65" s="105">
        <v>1</v>
      </c>
      <c r="J65" s="105">
        <v>0</v>
      </c>
      <c r="K65" s="105">
        <v>4</v>
      </c>
      <c r="L65" s="105">
        <v>4</v>
      </c>
      <c r="M65" s="105">
        <v>0</v>
      </c>
      <c r="N65" s="90"/>
      <c r="O65" s="90"/>
      <c r="P65" s="90"/>
      <c r="Q65" s="90"/>
      <c r="R65" s="90"/>
      <c r="S65" s="91">
        <f t="shared" si="5"/>
        <v>9</v>
      </c>
      <c r="T65" s="91">
        <f t="shared" si="12"/>
        <v>8</v>
      </c>
      <c r="U65" s="105">
        <v>2</v>
      </c>
      <c r="V65" s="105">
        <v>10</v>
      </c>
      <c r="W65" s="93">
        <f t="shared" si="6"/>
        <v>5</v>
      </c>
      <c r="X65" s="94">
        <f t="shared" si="3"/>
        <v>-3</v>
      </c>
      <c r="Y65" s="92"/>
      <c r="Z65" s="92"/>
      <c r="AA65" s="95">
        <f t="shared" si="13"/>
        <v>5</v>
      </c>
      <c r="AB65" s="105">
        <v>4</v>
      </c>
      <c r="AC65" s="104">
        <v>3</v>
      </c>
    </row>
    <row r="66" spans="1:29" ht="12.75">
      <c r="A66" s="87"/>
      <c r="B66" s="64" t="s">
        <v>536</v>
      </c>
      <c r="C66" s="88">
        <f t="shared" si="10"/>
        <v>4</v>
      </c>
      <c r="D66" s="64" t="s">
        <v>12</v>
      </c>
      <c r="E66" s="64" t="str">
        <f t="shared" si="11"/>
        <v>Medium</v>
      </c>
      <c r="F66" s="90" t="s">
        <v>659</v>
      </c>
      <c r="G66" s="89"/>
      <c r="H66" s="89"/>
      <c r="I66" s="105">
        <v>1</v>
      </c>
      <c r="J66" s="105">
        <v>0</v>
      </c>
      <c r="K66" s="105">
        <v>2</v>
      </c>
      <c r="L66" s="105">
        <v>0</v>
      </c>
      <c r="M66" s="105">
        <v>0</v>
      </c>
      <c r="N66" s="90"/>
      <c r="O66" s="90"/>
      <c r="P66" s="90"/>
      <c r="Q66" s="90"/>
      <c r="R66" s="90"/>
      <c r="S66" s="91">
        <f t="shared" si="5"/>
        <v>6</v>
      </c>
      <c r="T66" s="91">
        <f t="shared" si="12"/>
        <v>7</v>
      </c>
      <c r="U66" s="105">
        <v>2</v>
      </c>
      <c r="V66" s="105">
        <v>10</v>
      </c>
      <c r="W66" s="93">
        <f t="shared" si="6"/>
        <v>5</v>
      </c>
      <c r="X66" s="94">
        <f t="shared" si="3"/>
        <v>-3</v>
      </c>
      <c r="Y66" s="92"/>
      <c r="Z66" s="92"/>
      <c r="AA66" s="95">
        <f t="shared" si="13"/>
        <v>4</v>
      </c>
      <c r="AB66" s="90" t="s">
        <v>655</v>
      </c>
      <c r="AC66" s="104">
        <v>2</v>
      </c>
    </row>
    <row r="67" spans="1:29" ht="25.5">
      <c r="A67" s="87"/>
      <c r="B67" s="64" t="s">
        <v>68</v>
      </c>
      <c r="C67" s="88" t="str">
        <f>VLOOKUP(B67,Fighters,19,FALSE)</f>
        <v>Double heart -1</v>
      </c>
      <c r="D67" s="64" t="s">
        <v>55</v>
      </c>
      <c r="E67" s="64"/>
      <c r="F67" s="90"/>
      <c r="G67" s="89"/>
      <c r="H67" s="89"/>
      <c r="I67" s="105"/>
      <c r="J67" s="105"/>
      <c r="K67" s="105"/>
      <c r="L67" s="105"/>
      <c r="M67" s="105"/>
      <c r="N67" s="90"/>
      <c r="O67" s="90"/>
      <c r="P67" s="90"/>
      <c r="Q67" s="90"/>
      <c r="R67" s="90"/>
      <c r="S67" s="91"/>
      <c r="T67" s="91"/>
      <c r="U67" s="105"/>
      <c r="V67" s="105"/>
      <c r="W67" s="93"/>
      <c r="X67" s="94"/>
      <c r="Y67" s="92"/>
      <c r="Z67" s="92"/>
      <c r="AA67" s="95"/>
      <c r="AB67" s="90"/>
      <c r="AC67" s="104"/>
    </row>
    <row r="68" spans="1:29" ht="25.5">
      <c r="A68" s="87"/>
      <c r="B68" s="64" t="s">
        <v>67</v>
      </c>
      <c r="C68" s="88" t="str">
        <f>VLOOKUP(B68,Fighters,19,FALSE)</f>
        <v>Double heart -1</v>
      </c>
      <c r="D68" s="64" t="s">
        <v>55</v>
      </c>
      <c r="E68" s="64"/>
      <c r="F68" s="90"/>
      <c r="G68" s="89"/>
      <c r="H68" s="89"/>
      <c r="I68" s="105"/>
      <c r="J68" s="105"/>
      <c r="K68" s="105"/>
      <c r="L68" s="105"/>
      <c r="M68" s="105"/>
      <c r="N68" s="90"/>
      <c r="O68" s="90"/>
      <c r="P68" s="90"/>
      <c r="Q68" s="90"/>
      <c r="R68" s="90"/>
      <c r="S68" s="91"/>
      <c r="T68" s="91"/>
      <c r="U68" s="105"/>
      <c r="V68" s="105"/>
      <c r="W68" s="93"/>
      <c r="X68" s="94"/>
      <c r="Y68" s="92"/>
      <c r="Z68" s="92"/>
      <c r="AA68" s="95"/>
      <c r="AB68" s="90"/>
      <c r="AC68" s="104"/>
    </row>
    <row r="69" spans="1:29" ht="51">
      <c r="A69" s="87"/>
      <c r="B69" s="64" t="s">
        <v>75</v>
      </c>
      <c r="C69" s="88" t="str">
        <f>VLOOKUP(B69,Fighters,19,FALSE)</f>
        <v>Double heart -1 Stealth (-2)</v>
      </c>
      <c r="D69" s="64" t="s">
        <v>55</v>
      </c>
      <c r="E69" s="64"/>
      <c r="F69" s="90"/>
      <c r="G69" s="89"/>
      <c r="H69" s="89"/>
      <c r="I69" s="105"/>
      <c r="J69" s="105"/>
      <c r="K69" s="105"/>
      <c r="L69" s="105"/>
      <c r="M69" s="105"/>
      <c r="N69" s="90"/>
      <c r="O69" s="90"/>
      <c r="P69" s="90"/>
      <c r="Q69" s="90"/>
      <c r="R69" s="90"/>
      <c r="S69" s="91"/>
      <c r="T69" s="91"/>
      <c r="U69" s="105"/>
      <c r="V69" s="105"/>
      <c r="W69" s="93"/>
      <c r="X69" s="94"/>
      <c r="Y69" s="92"/>
      <c r="Z69" s="92"/>
      <c r="AA69" s="95"/>
      <c r="AB69" s="90"/>
      <c r="AC69" s="104"/>
    </row>
    <row r="70" spans="1:29" ht="12.75">
      <c r="A70" s="78" t="s">
        <v>537</v>
      </c>
      <c r="B70" s="79"/>
      <c r="C70" s="88">
        <f t="shared" si="10"/>
        <v>0</v>
      </c>
      <c r="D70" s="107"/>
      <c r="E70" s="107"/>
      <c r="F70" s="81"/>
      <c r="G70" s="82"/>
      <c r="H70" s="82"/>
      <c r="I70" s="82"/>
      <c r="J70" s="82"/>
      <c r="K70" s="82"/>
      <c r="L70" s="82"/>
      <c r="M70" s="82"/>
      <c r="N70" s="81"/>
      <c r="O70" s="81"/>
      <c r="P70" s="81"/>
      <c r="Q70" s="81"/>
      <c r="R70" s="81"/>
      <c r="S70" s="81">
        <f t="shared" si="5"/>
        <v>0</v>
      </c>
      <c r="T70" s="81"/>
      <c r="U70" s="81"/>
      <c r="V70" s="81"/>
      <c r="W70" s="84"/>
      <c r="X70" s="85"/>
      <c r="Y70" s="83"/>
      <c r="Z70" s="83"/>
      <c r="AA70" s="85"/>
      <c r="AB70" s="81"/>
      <c r="AC70" s="86"/>
    </row>
    <row r="71" spans="1:29" ht="12.75">
      <c r="A71" s="87"/>
      <c r="B71" s="64" t="s">
        <v>670</v>
      </c>
      <c r="C71" s="88">
        <f t="shared" si="10"/>
        <v>10</v>
      </c>
      <c r="D71" s="99" t="s">
        <v>611</v>
      </c>
      <c r="E71" s="64" t="str">
        <f aca="true" t="shared" si="14" ref="E71:E86">VLOOKUP(S71,size,3)</f>
        <v>HCV</v>
      </c>
      <c r="F71" s="90" t="s">
        <v>653</v>
      </c>
      <c r="G71" s="89"/>
      <c r="H71" s="89"/>
      <c r="I71" s="105">
        <v>0</v>
      </c>
      <c r="J71" s="105">
        <v>0</v>
      </c>
      <c r="K71" s="105">
        <v>3</v>
      </c>
      <c r="L71" s="105">
        <v>4</v>
      </c>
      <c r="M71" s="105">
        <v>0</v>
      </c>
      <c r="N71" s="90" t="s">
        <v>2</v>
      </c>
      <c r="O71" s="90"/>
      <c r="P71" s="90">
        <v>2</v>
      </c>
      <c r="Q71" s="90"/>
      <c r="R71" s="90"/>
      <c r="S71" s="91">
        <f t="shared" si="5"/>
        <v>19</v>
      </c>
      <c r="T71" s="91">
        <f aca="true" t="shared" si="15" ref="T71:T87">VLOOKUP(S71,size,2)</f>
        <v>11</v>
      </c>
      <c r="U71" s="105">
        <v>5</v>
      </c>
      <c r="V71" s="105">
        <v>10</v>
      </c>
      <c r="W71" s="93">
        <f t="shared" si="6"/>
        <v>2</v>
      </c>
      <c r="X71" s="94">
        <f t="shared" si="3"/>
        <v>-1</v>
      </c>
      <c r="Y71" s="92"/>
      <c r="Z71" s="92"/>
      <c r="AA71" s="95">
        <f aca="true" t="shared" si="16" ref="AA71:AA86">ROUND(T71+X71+Y71+Z71,0)</f>
        <v>10</v>
      </c>
      <c r="AB71" s="90" t="s">
        <v>671</v>
      </c>
      <c r="AC71" s="104">
        <v>3</v>
      </c>
    </row>
    <row r="72" spans="1:29" ht="12.75">
      <c r="A72" s="87"/>
      <c r="B72" s="64" t="s">
        <v>672</v>
      </c>
      <c r="C72" s="88">
        <f t="shared" si="10"/>
        <v>15</v>
      </c>
      <c r="D72" s="64" t="s">
        <v>614</v>
      </c>
      <c r="E72" s="64" t="str">
        <f t="shared" si="14"/>
        <v>Carrier</v>
      </c>
      <c r="F72" s="90" t="s">
        <v>625</v>
      </c>
      <c r="G72" s="89"/>
      <c r="H72" s="89" t="s">
        <v>3</v>
      </c>
      <c r="I72" s="105">
        <v>6</v>
      </c>
      <c r="J72" s="105">
        <v>0</v>
      </c>
      <c r="K72" s="105">
        <v>9</v>
      </c>
      <c r="L72" s="105">
        <v>4</v>
      </c>
      <c r="M72" s="105">
        <v>3</v>
      </c>
      <c r="N72" s="90" t="s">
        <v>2</v>
      </c>
      <c r="O72" s="90"/>
      <c r="P72" s="90"/>
      <c r="Q72" s="90"/>
      <c r="R72" s="90"/>
      <c r="S72" s="91">
        <f t="shared" si="5"/>
        <v>60</v>
      </c>
      <c r="T72" s="91">
        <f t="shared" si="15"/>
        <v>17</v>
      </c>
      <c r="U72" s="105">
        <v>4</v>
      </c>
      <c r="V72" s="105">
        <v>12</v>
      </c>
      <c r="W72" s="93">
        <f t="shared" si="6"/>
        <v>3</v>
      </c>
      <c r="X72" s="94">
        <f t="shared" si="3"/>
        <v>-2</v>
      </c>
      <c r="Y72" s="92"/>
      <c r="Z72" s="92"/>
      <c r="AA72" s="95">
        <f t="shared" si="16"/>
        <v>15</v>
      </c>
      <c r="AB72" s="90" t="s">
        <v>654</v>
      </c>
      <c r="AC72" s="96" t="s">
        <v>654</v>
      </c>
    </row>
    <row r="73" spans="1:29" ht="12.75">
      <c r="A73" s="87"/>
      <c r="B73" s="64" t="s">
        <v>673</v>
      </c>
      <c r="C73" s="88">
        <f t="shared" si="10"/>
        <v>6</v>
      </c>
      <c r="D73" s="64" t="s">
        <v>12</v>
      </c>
      <c r="E73" s="64" t="str">
        <f t="shared" si="14"/>
        <v>HCV</v>
      </c>
      <c r="F73" s="90" t="s">
        <v>663</v>
      </c>
      <c r="G73" s="89"/>
      <c r="H73" s="89"/>
      <c r="I73" s="105">
        <v>0</v>
      </c>
      <c r="J73" s="105">
        <v>0</v>
      </c>
      <c r="K73" s="105">
        <v>12</v>
      </c>
      <c r="L73" s="89"/>
      <c r="M73" s="105">
        <v>0</v>
      </c>
      <c r="N73" s="90"/>
      <c r="O73" s="90"/>
      <c r="P73" s="90"/>
      <c r="Q73" s="90"/>
      <c r="R73" s="90"/>
      <c r="S73" s="91">
        <f t="shared" si="5"/>
        <v>12</v>
      </c>
      <c r="T73" s="91">
        <f t="shared" si="15"/>
        <v>9</v>
      </c>
      <c r="U73" s="105">
        <v>2</v>
      </c>
      <c r="V73" s="105">
        <v>10</v>
      </c>
      <c r="W73" s="93">
        <f t="shared" si="6"/>
        <v>5</v>
      </c>
      <c r="X73" s="94">
        <f t="shared" si="3"/>
        <v>-3</v>
      </c>
      <c r="Y73" s="92"/>
      <c r="Z73" s="92"/>
      <c r="AA73" s="95">
        <f t="shared" si="16"/>
        <v>6</v>
      </c>
      <c r="AB73" s="105">
        <v>4</v>
      </c>
      <c r="AC73" s="104">
        <v>2</v>
      </c>
    </row>
    <row r="74" spans="1:29" ht="12.75">
      <c r="A74" s="87"/>
      <c r="B74" s="64" t="s">
        <v>674</v>
      </c>
      <c r="C74" s="88">
        <f t="shared" si="10"/>
        <v>11</v>
      </c>
      <c r="D74" s="64" t="s">
        <v>469</v>
      </c>
      <c r="E74" s="64" t="str">
        <f t="shared" si="14"/>
        <v>Capital</v>
      </c>
      <c r="F74" s="90" t="s">
        <v>657</v>
      </c>
      <c r="G74" s="89"/>
      <c r="H74" s="89"/>
      <c r="I74" s="105">
        <v>2</v>
      </c>
      <c r="J74" s="105">
        <v>4</v>
      </c>
      <c r="K74" s="105">
        <v>0</v>
      </c>
      <c r="L74" s="105">
        <v>4</v>
      </c>
      <c r="M74" s="105">
        <v>1</v>
      </c>
      <c r="N74" s="90" t="s">
        <v>2</v>
      </c>
      <c r="O74" s="90"/>
      <c r="P74" s="90"/>
      <c r="Q74" s="90"/>
      <c r="R74" s="90"/>
      <c r="S74" s="91">
        <f t="shared" si="5"/>
        <v>27</v>
      </c>
      <c r="T74" s="91">
        <f t="shared" si="15"/>
        <v>13</v>
      </c>
      <c r="U74" s="105">
        <v>3</v>
      </c>
      <c r="V74" s="105">
        <v>12</v>
      </c>
      <c r="W74" s="93">
        <f t="shared" si="6"/>
        <v>4</v>
      </c>
      <c r="X74" s="94">
        <f t="shared" si="3"/>
        <v>-2</v>
      </c>
      <c r="Y74" s="92"/>
      <c r="Z74" s="92"/>
      <c r="AA74" s="95">
        <f t="shared" si="16"/>
        <v>11</v>
      </c>
      <c r="AB74" s="90" t="s">
        <v>655</v>
      </c>
      <c r="AC74" s="96" t="s">
        <v>655</v>
      </c>
    </row>
    <row r="75" spans="1:29" ht="12.75">
      <c r="A75" s="87"/>
      <c r="B75" s="64" t="s">
        <v>1007</v>
      </c>
      <c r="C75" s="88">
        <f>AA75</f>
        <v>10</v>
      </c>
      <c r="D75" s="64" t="s">
        <v>469</v>
      </c>
      <c r="E75" s="64" t="str">
        <f>VLOOKUP(S75,size,3)</f>
        <v>Capital</v>
      </c>
      <c r="F75" s="90" t="s">
        <v>657</v>
      </c>
      <c r="G75" s="89"/>
      <c r="H75" s="89"/>
      <c r="I75" s="105">
        <v>1</v>
      </c>
      <c r="J75" s="105">
        <v>4</v>
      </c>
      <c r="K75" s="105">
        <v>0</v>
      </c>
      <c r="L75" s="105">
        <v>5</v>
      </c>
      <c r="M75" s="105">
        <v>1</v>
      </c>
      <c r="N75" s="90" t="s">
        <v>2</v>
      </c>
      <c r="O75" s="90"/>
      <c r="P75" s="90"/>
      <c r="Q75" s="90"/>
      <c r="R75" s="90"/>
      <c r="S75" s="91">
        <f>ROUND(G$2*G75+H$2*H75+I$2*I75+J$2*J75+K$2*K75+L$2*L75+M$2*M75+IF(N75="Y",N$2,0)+IF(O75="Y",O$2,0)+P$2*P75+R75,0)</f>
        <v>23</v>
      </c>
      <c r="T75" s="91">
        <f t="shared" si="15"/>
        <v>12</v>
      </c>
      <c r="U75" s="105">
        <v>3</v>
      </c>
      <c r="V75" s="105">
        <v>12</v>
      </c>
      <c r="W75" s="93">
        <f>V75/U75</f>
        <v>4</v>
      </c>
      <c r="X75" s="94">
        <f>-ROUND(V75/U75/2,0)</f>
        <v>-2</v>
      </c>
      <c r="Y75" s="92"/>
      <c r="Z75" s="92"/>
      <c r="AA75" s="95">
        <f>ROUND(T75+X75+Y75+Z75,0)</f>
        <v>10</v>
      </c>
      <c r="AB75" s="90" t="s">
        <v>655</v>
      </c>
      <c r="AC75" s="96" t="s">
        <v>655</v>
      </c>
    </row>
    <row r="76" spans="1:29" ht="12.75">
      <c r="A76" s="87"/>
      <c r="B76" s="64" t="s">
        <v>675</v>
      </c>
      <c r="C76" s="88">
        <f t="shared" si="10"/>
        <v>11</v>
      </c>
      <c r="D76" s="64" t="s">
        <v>469</v>
      </c>
      <c r="E76" s="64" t="str">
        <f t="shared" si="14"/>
        <v>Capital</v>
      </c>
      <c r="F76" s="90" t="s">
        <v>643</v>
      </c>
      <c r="G76" s="89"/>
      <c r="H76" s="89"/>
      <c r="I76" s="105">
        <v>2</v>
      </c>
      <c r="J76" s="105">
        <v>0</v>
      </c>
      <c r="K76" s="105">
        <v>6</v>
      </c>
      <c r="L76" s="105">
        <v>4</v>
      </c>
      <c r="M76" s="105">
        <v>2</v>
      </c>
      <c r="N76" s="90" t="s">
        <v>2</v>
      </c>
      <c r="O76" s="90"/>
      <c r="P76" s="90"/>
      <c r="Q76" s="90"/>
      <c r="R76" s="90"/>
      <c r="S76" s="91">
        <f t="shared" si="5"/>
        <v>30</v>
      </c>
      <c r="T76" s="91">
        <f t="shared" si="15"/>
        <v>13</v>
      </c>
      <c r="U76" s="105">
        <v>3</v>
      </c>
      <c r="V76" s="105">
        <v>12</v>
      </c>
      <c r="W76" s="93">
        <f t="shared" si="6"/>
        <v>4</v>
      </c>
      <c r="X76" s="94">
        <f t="shared" si="3"/>
        <v>-2</v>
      </c>
      <c r="Y76" s="92"/>
      <c r="Z76" s="92"/>
      <c r="AA76" s="95">
        <f t="shared" si="16"/>
        <v>11</v>
      </c>
      <c r="AB76" s="90" t="s">
        <v>655</v>
      </c>
      <c r="AC76" s="96" t="s">
        <v>655</v>
      </c>
    </row>
    <row r="77" spans="1:29" ht="12.75">
      <c r="A77" s="87"/>
      <c r="B77" s="64" t="s">
        <v>676</v>
      </c>
      <c r="C77" s="88">
        <f t="shared" si="10"/>
        <v>11</v>
      </c>
      <c r="D77" s="64" t="s">
        <v>469</v>
      </c>
      <c r="E77" s="64" t="str">
        <f t="shared" si="14"/>
        <v>Capital</v>
      </c>
      <c r="F77" s="90" t="s">
        <v>643</v>
      </c>
      <c r="G77" s="89"/>
      <c r="H77" s="89"/>
      <c r="I77" s="105">
        <v>4</v>
      </c>
      <c r="J77" s="105">
        <v>0</v>
      </c>
      <c r="K77" s="105">
        <v>6</v>
      </c>
      <c r="L77" s="105">
        <v>4</v>
      </c>
      <c r="M77" s="105">
        <v>0</v>
      </c>
      <c r="N77" s="90" t="s">
        <v>2</v>
      </c>
      <c r="O77" s="90"/>
      <c r="P77" s="90"/>
      <c r="Q77" s="90"/>
      <c r="R77" s="90"/>
      <c r="S77" s="91">
        <f t="shared" si="5"/>
        <v>28</v>
      </c>
      <c r="T77" s="91">
        <f t="shared" si="15"/>
        <v>13</v>
      </c>
      <c r="U77" s="105">
        <v>3</v>
      </c>
      <c r="V77" s="105">
        <v>12</v>
      </c>
      <c r="W77" s="93">
        <f t="shared" si="6"/>
        <v>4</v>
      </c>
      <c r="X77" s="94">
        <f t="shared" si="3"/>
        <v>-2</v>
      </c>
      <c r="Y77" s="92"/>
      <c r="Z77" s="92"/>
      <c r="AA77" s="95">
        <f t="shared" si="16"/>
        <v>11</v>
      </c>
      <c r="AB77" s="90" t="s">
        <v>655</v>
      </c>
      <c r="AC77" s="96" t="s">
        <v>655</v>
      </c>
    </row>
    <row r="78" spans="1:29" ht="12.75">
      <c r="A78" s="87"/>
      <c r="B78" s="64" t="s">
        <v>677</v>
      </c>
      <c r="C78" s="88">
        <f t="shared" si="10"/>
        <v>9</v>
      </c>
      <c r="D78" s="64" t="s">
        <v>611</v>
      </c>
      <c r="E78" s="64" t="str">
        <f t="shared" si="14"/>
        <v>HCV</v>
      </c>
      <c r="F78" s="90" t="s">
        <v>678</v>
      </c>
      <c r="G78" s="89"/>
      <c r="H78" s="89" t="s">
        <v>3</v>
      </c>
      <c r="I78" s="105">
        <v>2</v>
      </c>
      <c r="J78" s="105">
        <v>0</v>
      </c>
      <c r="K78" s="105">
        <v>0</v>
      </c>
      <c r="L78" s="105">
        <v>4</v>
      </c>
      <c r="M78" s="105">
        <v>1</v>
      </c>
      <c r="N78" s="90"/>
      <c r="O78" s="90"/>
      <c r="P78" s="90"/>
      <c r="Q78" s="90"/>
      <c r="R78" s="90"/>
      <c r="S78" s="91">
        <f t="shared" si="5"/>
        <v>20</v>
      </c>
      <c r="T78" s="91">
        <f t="shared" si="15"/>
        <v>11</v>
      </c>
      <c r="U78" s="105">
        <v>3</v>
      </c>
      <c r="V78" s="105">
        <v>10</v>
      </c>
      <c r="W78" s="93">
        <f t="shared" si="6"/>
        <v>3.3333333333333335</v>
      </c>
      <c r="X78" s="94">
        <f t="shared" si="3"/>
        <v>-2</v>
      </c>
      <c r="Y78" s="92"/>
      <c r="Z78" s="92"/>
      <c r="AA78" s="95">
        <f t="shared" si="16"/>
        <v>9</v>
      </c>
      <c r="AB78" s="90" t="s">
        <v>655</v>
      </c>
      <c r="AC78" s="96" t="s">
        <v>660</v>
      </c>
    </row>
    <row r="79" spans="1:29" ht="12.75">
      <c r="A79" s="87"/>
      <c r="B79" s="64" t="s">
        <v>539</v>
      </c>
      <c r="C79" s="88">
        <f t="shared" si="10"/>
        <v>7</v>
      </c>
      <c r="D79" s="64" t="s">
        <v>611</v>
      </c>
      <c r="E79" s="64" t="str">
        <f t="shared" si="14"/>
        <v>HCV</v>
      </c>
      <c r="F79" s="90" t="s">
        <v>659</v>
      </c>
      <c r="G79" s="89"/>
      <c r="H79" s="89"/>
      <c r="I79" s="105">
        <v>2</v>
      </c>
      <c r="J79" s="105">
        <v>0</v>
      </c>
      <c r="K79" s="105">
        <v>4</v>
      </c>
      <c r="L79" s="105">
        <v>2</v>
      </c>
      <c r="M79" s="105">
        <v>0</v>
      </c>
      <c r="N79" s="90"/>
      <c r="O79" s="90"/>
      <c r="P79" s="90"/>
      <c r="Q79" s="90"/>
      <c r="R79" s="90"/>
      <c r="S79" s="91">
        <f t="shared" si="5"/>
        <v>12</v>
      </c>
      <c r="T79" s="91">
        <f t="shared" si="15"/>
        <v>9</v>
      </c>
      <c r="U79" s="105">
        <v>3</v>
      </c>
      <c r="V79" s="105">
        <v>12</v>
      </c>
      <c r="W79" s="93">
        <f t="shared" si="6"/>
        <v>4</v>
      </c>
      <c r="X79" s="94">
        <f t="shared" si="3"/>
        <v>-2</v>
      </c>
      <c r="Y79" s="92"/>
      <c r="Z79" s="92"/>
      <c r="AA79" s="95">
        <f t="shared" si="16"/>
        <v>7</v>
      </c>
      <c r="AB79" s="105">
        <v>4</v>
      </c>
      <c r="AC79" s="104">
        <v>3</v>
      </c>
    </row>
    <row r="80" spans="1:29" ht="12.75">
      <c r="A80" s="87"/>
      <c r="B80" s="64" t="s">
        <v>679</v>
      </c>
      <c r="C80" s="88">
        <f t="shared" si="10"/>
        <v>8</v>
      </c>
      <c r="D80" s="99" t="s">
        <v>611</v>
      </c>
      <c r="E80" s="64" t="str">
        <f t="shared" si="14"/>
        <v>HCV</v>
      </c>
      <c r="F80" s="90" t="s">
        <v>612</v>
      </c>
      <c r="G80" s="89"/>
      <c r="H80" s="89"/>
      <c r="I80" s="105">
        <v>0</v>
      </c>
      <c r="J80" s="105">
        <v>0</v>
      </c>
      <c r="K80" s="105">
        <v>3</v>
      </c>
      <c r="L80" s="105">
        <v>6</v>
      </c>
      <c r="M80" s="105">
        <v>1</v>
      </c>
      <c r="N80" s="90" t="s">
        <v>2</v>
      </c>
      <c r="O80" s="90" t="s">
        <v>2</v>
      </c>
      <c r="P80" s="90"/>
      <c r="Q80" s="90"/>
      <c r="R80" s="90"/>
      <c r="S80" s="91">
        <f t="shared" si="5"/>
        <v>14</v>
      </c>
      <c r="T80" s="91">
        <f t="shared" si="15"/>
        <v>10</v>
      </c>
      <c r="U80" s="105">
        <v>3</v>
      </c>
      <c r="V80" s="105">
        <v>10</v>
      </c>
      <c r="W80" s="93">
        <f t="shared" si="6"/>
        <v>3.3333333333333335</v>
      </c>
      <c r="X80" s="94">
        <f t="shared" si="3"/>
        <v>-2</v>
      </c>
      <c r="Y80" s="92"/>
      <c r="Z80" s="92"/>
      <c r="AA80" s="95">
        <f t="shared" si="16"/>
        <v>8</v>
      </c>
      <c r="AB80" s="90" t="s">
        <v>660</v>
      </c>
      <c r="AC80" s="96" t="s">
        <v>660</v>
      </c>
    </row>
    <row r="81" spans="1:29" ht="12.75">
      <c r="A81" s="87"/>
      <c r="B81" s="64" t="s">
        <v>680</v>
      </c>
      <c r="C81" s="88">
        <f t="shared" si="10"/>
        <v>1</v>
      </c>
      <c r="D81" s="64" t="s">
        <v>12</v>
      </c>
      <c r="E81" s="64" t="str">
        <f t="shared" si="14"/>
        <v>LCV</v>
      </c>
      <c r="F81" s="90" t="s">
        <v>681</v>
      </c>
      <c r="G81" s="89"/>
      <c r="H81" s="89"/>
      <c r="I81" s="105">
        <v>0</v>
      </c>
      <c r="J81" s="105">
        <v>1</v>
      </c>
      <c r="K81" s="105">
        <v>0</v>
      </c>
      <c r="L81" s="105">
        <v>4</v>
      </c>
      <c r="M81" s="105">
        <v>0</v>
      </c>
      <c r="N81" s="90"/>
      <c r="O81" s="90"/>
      <c r="P81" s="90"/>
      <c r="Q81" s="90"/>
      <c r="R81" s="90"/>
      <c r="S81" s="91">
        <f t="shared" si="5"/>
        <v>3</v>
      </c>
      <c r="T81" s="91">
        <f t="shared" si="15"/>
        <v>5</v>
      </c>
      <c r="U81" s="105">
        <v>2</v>
      </c>
      <c r="V81" s="105">
        <v>12</v>
      </c>
      <c r="W81" s="93">
        <f t="shared" si="6"/>
        <v>6</v>
      </c>
      <c r="X81" s="94">
        <f aca="true" t="shared" si="17" ref="X81:X87">-ROUND(V81/U81/2,0)</f>
        <v>-3</v>
      </c>
      <c r="Y81" s="92"/>
      <c r="Z81" s="92">
        <v>-1</v>
      </c>
      <c r="AA81" s="95">
        <f t="shared" si="16"/>
        <v>1</v>
      </c>
      <c r="AB81" s="105">
        <v>3</v>
      </c>
      <c r="AC81" s="104">
        <v>1</v>
      </c>
    </row>
    <row r="82" spans="1:29" ht="12.75">
      <c r="A82" s="87"/>
      <c r="B82" s="64" t="s">
        <v>540</v>
      </c>
      <c r="C82" s="88">
        <f t="shared" si="10"/>
        <v>4</v>
      </c>
      <c r="D82" s="64" t="s">
        <v>12</v>
      </c>
      <c r="E82" s="64" t="str">
        <f t="shared" si="14"/>
        <v>Medium</v>
      </c>
      <c r="F82" s="90" t="s">
        <v>659</v>
      </c>
      <c r="G82" s="89"/>
      <c r="H82" s="89"/>
      <c r="I82" s="105">
        <v>0</v>
      </c>
      <c r="J82" s="105">
        <v>2</v>
      </c>
      <c r="K82" s="105">
        <v>4</v>
      </c>
      <c r="L82" s="105">
        <v>2</v>
      </c>
      <c r="M82" s="105">
        <v>0</v>
      </c>
      <c r="N82" s="90"/>
      <c r="O82" s="90"/>
      <c r="P82" s="90"/>
      <c r="Q82" s="90"/>
      <c r="R82" s="90"/>
      <c r="S82" s="91">
        <f aca="true" t="shared" si="18" ref="S82:S142">ROUND(G$2*G82+H$2*H82+I$2*I82+J$2*J82+K$2*K82+L$2*L82+M$2*M82+IF(N82="Y",N$2,0)+IF(O82="Y",O$2,0)+P$2*P82+R82,0)</f>
        <v>8</v>
      </c>
      <c r="T82" s="91">
        <f t="shared" si="15"/>
        <v>8</v>
      </c>
      <c r="U82" s="105">
        <v>2</v>
      </c>
      <c r="V82" s="105">
        <v>12</v>
      </c>
      <c r="W82" s="93">
        <f aca="true" t="shared" si="19" ref="W82:W155">V82/U82</f>
        <v>6</v>
      </c>
      <c r="X82" s="94">
        <f t="shared" si="17"/>
        <v>-3</v>
      </c>
      <c r="Y82" s="92"/>
      <c r="Z82" s="92">
        <v>-1</v>
      </c>
      <c r="AA82" s="95">
        <f t="shared" si="16"/>
        <v>4</v>
      </c>
      <c r="AB82" s="105">
        <v>4</v>
      </c>
      <c r="AC82" s="104">
        <v>2</v>
      </c>
    </row>
    <row r="83" spans="1:29" ht="12.75">
      <c r="A83" s="87"/>
      <c r="B83" s="64" t="s">
        <v>682</v>
      </c>
      <c r="C83" s="88">
        <f t="shared" si="10"/>
        <v>14</v>
      </c>
      <c r="D83" s="64" t="s">
        <v>621</v>
      </c>
      <c r="E83" s="64" t="str">
        <f t="shared" si="14"/>
        <v>Carrier</v>
      </c>
      <c r="F83" s="90" t="s">
        <v>625</v>
      </c>
      <c r="G83" s="89"/>
      <c r="H83" s="89"/>
      <c r="I83" s="105">
        <v>4</v>
      </c>
      <c r="J83" s="105">
        <v>0</v>
      </c>
      <c r="K83" s="105">
        <v>0</v>
      </c>
      <c r="L83" s="105">
        <v>6</v>
      </c>
      <c r="M83" s="105">
        <v>4</v>
      </c>
      <c r="N83" s="90" t="s">
        <v>2</v>
      </c>
      <c r="O83" s="90"/>
      <c r="P83" s="90"/>
      <c r="Q83" s="90"/>
      <c r="R83" s="90"/>
      <c r="S83" s="91">
        <f t="shared" si="18"/>
        <v>42</v>
      </c>
      <c r="T83" s="91">
        <f t="shared" si="15"/>
        <v>16</v>
      </c>
      <c r="U83" s="105">
        <v>4</v>
      </c>
      <c r="V83" s="105">
        <v>12</v>
      </c>
      <c r="W83" s="93">
        <f t="shared" si="19"/>
        <v>3</v>
      </c>
      <c r="X83" s="94">
        <f t="shared" si="17"/>
        <v>-2</v>
      </c>
      <c r="Y83" s="92"/>
      <c r="Z83" s="92"/>
      <c r="AA83" s="95">
        <f t="shared" si="16"/>
        <v>14</v>
      </c>
      <c r="AB83" s="105">
        <v>4</v>
      </c>
      <c r="AC83" s="104">
        <v>4</v>
      </c>
    </row>
    <row r="84" spans="1:29" ht="12.75">
      <c r="A84" s="87"/>
      <c r="B84" s="64" t="s">
        <v>1016</v>
      </c>
      <c r="C84" s="88">
        <f>AA84</f>
        <v>6</v>
      </c>
      <c r="D84" s="64" t="s">
        <v>12</v>
      </c>
      <c r="E84" s="64" t="str">
        <f>VLOOKUP(S84,size,3)</f>
        <v>Medium</v>
      </c>
      <c r="F84" s="90" t="s">
        <v>625</v>
      </c>
      <c r="G84" s="89"/>
      <c r="H84" s="89"/>
      <c r="I84" s="105">
        <v>2</v>
      </c>
      <c r="J84" s="105">
        <v>0</v>
      </c>
      <c r="K84" s="105">
        <v>0</v>
      </c>
      <c r="L84" s="105">
        <v>2</v>
      </c>
      <c r="M84" s="105"/>
      <c r="N84" s="90"/>
      <c r="O84" s="90"/>
      <c r="P84" s="90"/>
      <c r="Q84" s="90"/>
      <c r="R84" s="90"/>
      <c r="S84" s="91">
        <f>ROUND(G$2*G84+H$2*H84+I$2*I84+J$2*J84+K$2*K84+L$2*L84+M$2*M84+IF(N84="Y",N$2,0)+IF(O84="Y",O$2,0)+P$2*P84+R84,0)</f>
        <v>8</v>
      </c>
      <c r="T84" s="91">
        <f t="shared" si="15"/>
        <v>8</v>
      </c>
      <c r="U84" s="105">
        <v>2</v>
      </c>
      <c r="V84" s="105">
        <v>6</v>
      </c>
      <c r="W84" s="93">
        <f>V84/U84</f>
        <v>3</v>
      </c>
      <c r="X84" s="94">
        <f t="shared" si="17"/>
        <v>-2</v>
      </c>
      <c r="Y84" s="92"/>
      <c r="Z84" s="92"/>
      <c r="AA84" s="95">
        <f>ROUND(T84+X84+Y84+Z84,0)</f>
        <v>6</v>
      </c>
      <c r="AB84" s="105">
        <v>4</v>
      </c>
      <c r="AC84" s="104">
        <v>2</v>
      </c>
    </row>
    <row r="85" spans="1:29" ht="12.75">
      <c r="A85" s="87"/>
      <c r="B85" s="64" t="s">
        <v>1015</v>
      </c>
      <c r="C85" s="88">
        <f>AA85</f>
        <v>6</v>
      </c>
      <c r="D85" s="64" t="s">
        <v>12</v>
      </c>
      <c r="E85" s="64" t="str">
        <f>VLOOKUP(S85,size,3)</f>
        <v>Medium</v>
      </c>
      <c r="F85" s="90" t="s">
        <v>625</v>
      </c>
      <c r="G85" s="89"/>
      <c r="H85" s="89"/>
      <c r="I85" s="105">
        <v>2</v>
      </c>
      <c r="J85" s="105">
        <v>0</v>
      </c>
      <c r="K85" s="105">
        <v>0</v>
      </c>
      <c r="L85" s="105">
        <v>2</v>
      </c>
      <c r="M85" s="105"/>
      <c r="N85" s="90"/>
      <c r="O85" s="90"/>
      <c r="P85" s="90"/>
      <c r="Q85" s="90"/>
      <c r="R85" s="90"/>
      <c r="S85" s="91">
        <f>ROUND(G$2*G85+H$2*H85+I$2*I85+J$2*J85+K$2*K85+L$2*L85+M$2*M85+IF(N85="Y",N$2,0)+IF(O85="Y",O$2,0)+P$2*P85+R85,0)</f>
        <v>8</v>
      </c>
      <c r="T85" s="91">
        <f t="shared" si="15"/>
        <v>8</v>
      </c>
      <c r="U85" s="105">
        <v>2</v>
      </c>
      <c r="V85" s="105">
        <v>6</v>
      </c>
      <c r="W85" s="93">
        <f>V85/U85</f>
        <v>3</v>
      </c>
      <c r="X85" s="94">
        <f t="shared" si="17"/>
        <v>-2</v>
      </c>
      <c r="Y85" s="92"/>
      <c r="Z85" s="92"/>
      <c r="AA85" s="95">
        <f>ROUND(T85+X85+Y85+Z85,0)</f>
        <v>6</v>
      </c>
      <c r="AB85" s="105">
        <v>4</v>
      </c>
      <c r="AC85" s="104">
        <v>2</v>
      </c>
    </row>
    <row r="86" spans="1:29" ht="12.75">
      <c r="A86" s="87"/>
      <c r="B86" s="64" t="s">
        <v>936</v>
      </c>
      <c r="C86" s="88">
        <f t="shared" si="10"/>
        <v>9</v>
      </c>
      <c r="D86" s="64" t="s">
        <v>469</v>
      </c>
      <c r="E86" s="64" t="str">
        <f t="shared" si="14"/>
        <v>HCV</v>
      </c>
      <c r="F86" s="90" t="s">
        <v>663</v>
      </c>
      <c r="G86" s="89"/>
      <c r="H86" s="89"/>
      <c r="I86" s="105">
        <v>1</v>
      </c>
      <c r="J86" s="105">
        <v>2</v>
      </c>
      <c r="K86" s="105">
        <v>1</v>
      </c>
      <c r="L86" s="105">
        <v>4</v>
      </c>
      <c r="M86" s="105">
        <v>1</v>
      </c>
      <c r="N86" s="90" t="s">
        <v>2</v>
      </c>
      <c r="O86" s="90"/>
      <c r="P86" s="90"/>
      <c r="Q86" s="90"/>
      <c r="R86" s="90"/>
      <c r="S86" s="91">
        <f t="shared" si="18"/>
        <v>20</v>
      </c>
      <c r="T86" s="91">
        <f t="shared" si="15"/>
        <v>11</v>
      </c>
      <c r="U86" s="105">
        <v>3</v>
      </c>
      <c r="V86" s="105">
        <v>12</v>
      </c>
      <c r="W86" s="93">
        <f t="shared" si="19"/>
        <v>4</v>
      </c>
      <c r="X86" s="94">
        <f t="shared" si="17"/>
        <v>-2</v>
      </c>
      <c r="Y86" s="92"/>
      <c r="Z86" s="92"/>
      <c r="AA86" s="95">
        <f t="shared" si="16"/>
        <v>9</v>
      </c>
      <c r="AB86" s="90" t="s">
        <v>655</v>
      </c>
      <c r="AC86" s="104">
        <v>4</v>
      </c>
    </row>
    <row r="87" spans="1:29" ht="12.75">
      <c r="A87" s="87"/>
      <c r="B87" s="64" t="s">
        <v>683</v>
      </c>
      <c r="C87" s="88">
        <f>AA87</f>
        <v>9</v>
      </c>
      <c r="D87" s="64" t="s">
        <v>469</v>
      </c>
      <c r="E87" s="64" t="str">
        <f>VLOOKUP(S87,size,3)</f>
        <v>HCV</v>
      </c>
      <c r="F87" s="90" t="s">
        <v>663</v>
      </c>
      <c r="G87" s="89"/>
      <c r="H87" s="89"/>
      <c r="I87" s="105">
        <v>1</v>
      </c>
      <c r="J87" s="105">
        <v>2</v>
      </c>
      <c r="K87" s="105">
        <v>3</v>
      </c>
      <c r="L87" s="105">
        <v>2</v>
      </c>
      <c r="M87" s="105">
        <v>1</v>
      </c>
      <c r="N87" s="90" t="s">
        <v>2</v>
      </c>
      <c r="O87" s="90"/>
      <c r="P87" s="90"/>
      <c r="Q87" s="90"/>
      <c r="R87" s="90"/>
      <c r="S87" s="91">
        <f>ROUND(G$2*G87+H$2*H87+I$2*I87+J$2*J87+K$2*K87+L$2*L87+M$2*M87+IF(N87="Y",N$2,0)+IF(O87="Y",O$2,0)+P$2*P87+R87,0)</f>
        <v>21</v>
      </c>
      <c r="T87" s="91">
        <f t="shared" si="15"/>
        <v>11</v>
      </c>
      <c r="U87" s="105">
        <v>3</v>
      </c>
      <c r="V87" s="105">
        <v>12</v>
      </c>
      <c r="W87" s="93">
        <f>V87/U87</f>
        <v>4</v>
      </c>
      <c r="X87" s="94">
        <f t="shared" si="17"/>
        <v>-2</v>
      </c>
      <c r="Y87" s="92"/>
      <c r="Z87" s="92"/>
      <c r="AA87" s="95">
        <f>ROUND(T87+X87+Y87+Z87,0)</f>
        <v>9</v>
      </c>
      <c r="AB87" s="90" t="s">
        <v>655</v>
      </c>
      <c r="AC87" s="104">
        <v>4</v>
      </c>
    </row>
    <row r="88" spans="1:29" ht="12.75">
      <c r="A88" s="87"/>
      <c r="B88" s="12" t="s">
        <v>88</v>
      </c>
      <c r="C88" s="88">
        <f>VLOOKUP(B88,Fighters,19,FALSE)</f>
        <v>0</v>
      </c>
      <c r="D88" s="64"/>
      <c r="E88" s="64"/>
      <c r="F88" s="90"/>
      <c r="G88" s="89"/>
      <c r="H88" s="89"/>
      <c r="I88" s="105"/>
      <c r="J88" s="105"/>
      <c r="K88" s="105"/>
      <c r="L88" s="105"/>
      <c r="M88" s="105"/>
      <c r="N88" s="90"/>
      <c r="O88" s="90"/>
      <c r="P88" s="90"/>
      <c r="Q88" s="90"/>
      <c r="R88" s="90"/>
      <c r="S88" s="91"/>
      <c r="T88" s="91"/>
      <c r="U88" s="105"/>
      <c r="V88" s="105"/>
      <c r="W88" s="93"/>
      <c r="X88" s="94"/>
      <c r="Y88" s="92"/>
      <c r="Z88" s="92"/>
      <c r="AA88" s="95"/>
      <c r="AB88" s="90"/>
      <c r="AC88" s="104"/>
    </row>
    <row r="89" spans="1:29" ht="12.75">
      <c r="A89" s="87"/>
      <c r="B89" s="12" t="s">
        <v>59</v>
      </c>
      <c r="C89" s="88">
        <f>VLOOKUP(B89,Fighters,19,FALSE)</f>
        <v>0</v>
      </c>
      <c r="D89" s="64"/>
      <c r="E89" s="64"/>
      <c r="F89" s="90"/>
      <c r="G89" s="89"/>
      <c r="H89" s="89"/>
      <c r="I89" s="105"/>
      <c r="J89" s="105"/>
      <c r="K89" s="105"/>
      <c r="L89" s="105"/>
      <c r="M89" s="105"/>
      <c r="N89" s="90"/>
      <c r="O89" s="90"/>
      <c r="P89" s="90"/>
      <c r="Q89" s="90"/>
      <c r="R89" s="90"/>
      <c r="S89" s="91"/>
      <c r="T89" s="91"/>
      <c r="U89" s="105"/>
      <c r="V89" s="105"/>
      <c r="W89" s="93"/>
      <c r="X89" s="94"/>
      <c r="Y89" s="92"/>
      <c r="Z89" s="92"/>
      <c r="AA89" s="95"/>
      <c r="AB89" s="90"/>
      <c r="AC89" s="104"/>
    </row>
    <row r="90" spans="1:29" ht="12.75">
      <c r="A90" s="78" t="s">
        <v>543</v>
      </c>
      <c r="B90" s="79"/>
      <c r="C90" s="88">
        <f t="shared" si="10"/>
        <v>0</v>
      </c>
      <c r="D90" s="79"/>
      <c r="E90" s="79"/>
      <c r="F90" s="81"/>
      <c r="G90" s="82"/>
      <c r="H90" s="82"/>
      <c r="I90" s="82"/>
      <c r="J90" s="82"/>
      <c r="K90" s="82"/>
      <c r="L90" s="82"/>
      <c r="M90" s="82"/>
      <c r="N90" s="81"/>
      <c r="O90" s="81"/>
      <c r="P90" s="81"/>
      <c r="Q90" s="81"/>
      <c r="R90" s="81"/>
      <c r="S90" s="81">
        <f t="shared" si="18"/>
        <v>0</v>
      </c>
      <c r="T90" s="81"/>
      <c r="U90" s="81"/>
      <c r="V90" s="81"/>
      <c r="W90" s="84"/>
      <c r="X90" s="85"/>
      <c r="Y90" s="83"/>
      <c r="Z90" s="83"/>
      <c r="AA90" s="85"/>
      <c r="AB90" s="81"/>
      <c r="AC90" s="86"/>
    </row>
    <row r="91" spans="1:29" ht="12.75">
      <c r="A91" s="102" t="s">
        <v>639</v>
      </c>
      <c r="B91" s="64" t="s">
        <v>544</v>
      </c>
      <c r="C91" s="88">
        <f t="shared" si="10"/>
        <v>11</v>
      </c>
      <c r="D91" s="64" t="s">
        <v>469</v>
      </c>
      <c r="E91" s="64" t="str">
        <f aca="true" t="shared" si="20" ref="E91:E102">VLOOKUP(S91,size,3)</f>
        <v>Capital</v>
      </c>
      <c r="F91" s="90" t="s">
        <v>684</v>
      </c>
      <c r="G91" s="89"/>
      <c r="H91" s="89"/>
      <c r="I91" s="105">
        <v>4</v>
      </c>
      <c r="J91" s="105">
        <v>4</v>
      </c>
      <c r="K91" s="105">
        <v>0</v>
      </c>
      <c r="L91" s="89"/>
      <c r="M91" s="105">
        <v>0</v>
      </c>
      <c r="N91" s="90" t="s">
        <v>2</v>
      </c>
      <c r="O91" s="90"/>
      <c r="P91" s="90"/>
      <c r="Q91" s="90"/>
      <c r="R91" s="90"/>
      <c r="S91" s="91">
        <f t="shared" si="18"/>
        <v>29</v>
      </c>
      <c r="T91" s="91">
        <f aca="true" t="shared" si="21" ref="T91:T103">VLOOKUP(S91,size,2)</f>
        <v>13</v>
      </c>
      <c r="U91" s="105">
        <v>4</v>
      </c>
      <c r="V91" s="105">
        <v>15</v>
      </c>
      <c r="W91" s="93">
        <f t="shared" si="19"/>
        <v>3.75</v>
      </c>
      <c r="X91" s="94">
        <f aca="true" t="shared" si="22" ref="X91:X103">-ROUND(V91/U91/2,0)</f>
        <v>-2</v>
      </c>
      <c r="Y91" s="106">
        <v>0</v>
      </c>
      <c r="Z91" s="106"/>
      <c r="AA91" s="95">
        <f aca="true" t="shared" si="23" ref="AA91:AA103">ROUND(T91+X91+Y91+Z91,0)</f>
        <v>11</v>
      </c>
      <c r="AB91" s="105">
        <v>6</v>
      </c>
      <c r="AC91" s="104">
        <v>6</v>
      </c>
    </row>
    <row r="92" spans="1:29" ht="12.75">
      <c r="A92" s="102"/>
      <c r="B92" s="64" t="s">
        <v>977</v>
      </c>
      <c r="C92" s="88">
        <f>AA92</f>
        <v>11</v>
      </c>
      <c r="D92" s="64" t="s">
        <v>469</v>
      </c>
      <c r="E92" s="64" t="str">
        <f>VLOOKUP(S92,size,3)</f>
        <v>Capital</v>
      </c>
      <c r="F92" s="90" t="s">
        <v>684</v>
      </c>
      <c r="G92" s="89">
        <v>2</v>
      </c>
      <c r="H92" s="89"/>
      <c r="I92" s="105"/>
      <c r="J92" s="105">
        <v>4</v>
      </c>
      <c r="K92" s="105">
        <v>0</v>
      </c>
      <c r="L92" s="89"/>
      <c r="M92" s="105">
        <v>0</v>
      </c>
      <c r="N92" s="90" t="s">
        <v>2</v>
      </c>
      <c r="O92" s="90"/>
      <c r="P92" s="90"/>
      <c r="Q92" s="90"/>
      <c r="R92" s="90"/>
      <c r="S92" s="91">
        <f>ROUND(G$2*G92+H$2*H92+I$2*I92+J$2*J92+K$2*K92+L$2*L92+M$2*M92+IF(N92="Y",N$2,0)+IF(O92="Y",O$2,0)+P$2*P92+R92,0)</f>
        <v>29</v>
      </c>
      <c r="T92" s="91">
        <f t="shared" si="21"/>
        <v>13</v>
      </c>
      <c r="U92" s="105">
        <v>4</v>
      </c>
      <c r="V92" s="105">
        <v>15</v>
      </c>
      <c r="W92" s="93">
        <f>V92/U92</f>
        <v>3.75</v>
      </c>
      <c r="X92" s="94">
        <f>-ROUND(V92/U92/2,0)</f>
        <v>-2</v>
      </c>
      <c r="Y92" s="106">
        <v>0</v>
      </c>
      <c r="Z92" s="106"/>
      <c r="AA92" s="95">
        <f>ROUND(T92+X92+Y92+Z92,0)</f>
        <v>11</v>
      </c>
      <c r="AB92" s="105">
        <v>6</v>
      </c>
      <c r="AC92" s="104">
        <v>6</v>
      </c>
    </row>
    <row r="93" spans="1:29" ht="25.5">
      <c r="A93" s="102" t="s">
        <v>685</v>
      </c>
      <c r="B93" s="64" t="s">
        <v>546</v>
      </c>
      <c r="C93" s="88">
        <f t="shared" si="10"/>
        <v>13</v>
      </c>
      <c r="D93" s="64" t="s">
        <v>621</v>
      </c>
      <c r="E93" s="64" t="str">
        <f t="shared" si="20"/>
        <v>Carrier</v>
      </c>
      <c r="F93" s="90" t="s">
        <v>623</v>
      </c>
      <c r="G93" s="89"/>
      <c r="H93" s="89"/>
      <c r="I93" s="105">
        <v>4</v>
      </c>
      <c r="J93" s="105">
        <v>6</v>
      </c>
      <c r="K93" s="105">
        <v>2</v>
      </c>
      <c r="L93" s="89"/>
      <c r="M93" s="105">
        <v>4</v>
      </c>
      <c r="N93" s="90" t="s">
        <v>2</v>
      </c>
      <c r="O93" s="90"/>
      <c r="P93" s="90"/>
      <c r="Q93" s="90"/>
      <c r="R93" s="90"/>
      <c r="S93" s="91">
        <f t="shared" si="18"/>
        <v>55</v>
      </c>
      <c r="T93" s="91">
        <f t="shared" si="21"/>
        <v>17</v>
      </c>
      <c r="U93" s="105">
        <v>4</v>
      </c>
      <c r="V93" s="105">
        <v>12</v>
      </c>
      <c r="W93" s="93">
        <f t="shared" si="19"/>
        <v>3</v>
      </c>
      <c r="X93" s="94">
        <f t="shared" si="22"/>
        <v>-2</v>
      </c>
      <c r="Y93" s="106">
        <v>-2</v>
      </c>
      <c r="Z93" s="106"/>
      <c r="AA93" s="95">
        <f t="shared" si="23"/>
        <v>13</v>
      </c>
      <c r="AB93" s="90" t="s">
        <v>655</v>
      </c>
      <c r="AC93" s="96" t="s">
        <v>655</v>
      </c>
    </row>
    <row r="94" spans="1:29" ht="12.75">
      <c r="A94" s="87"/>
      <c r="B94" s="64" t="s">
        <v>548</v>
      </c>
      <c r="C94" s="88">
        <f t="shared" si="10"/>
        <v>14</v>
      </c>
      <c r="D94" s="64" t="s">
        <v>469</v>
      </c>
      <c r="E94" s="64" t="str">
        <f t="shared" si="20"/>
        <v>Carrier</v>
      </c>
      <c r="F94" s="90" t="s">
        <v>620</v>
      </c>
      <c r="G94" s="89"/>
      <c r="H94" s="89"/>
      <c r="I94" s="105">
        <v>8</v>
      </c>
      <c r="J94" s="105">
        <v>5</v>
      </c>
      <c r="K94" s="105">
        <v>0</v>
      </c>
      <c r="L94" s="89"/>
      <c r="M94" s="105">
        <v>0</v>
      </c>
      <c r="N94" s="90" t="s">
        <v>2</v>
      </c>
      <c r="O94" s="90"/>
      <c r="P94" s="90"/>
      <c r="Q94" s="90"/>
      <c r="R94" s="90"/>
      <c r="S94" s="91">
        <f t="shared" si="18"/>
        <v>47</v>
      </c>
      <c r="T94" s="91">
        <f t="shared" si="21"/>
        <v>16</v>
      </c>
      <c r="U94" s="105">
        <v>5</v>
      </c>
      <c r="V94" s="105">
        <v>16</v>
      </c>
      <c r="W94" s="93">
        <f t="shared" si="19"/>
        <v>3.2</v>
      </c>
      <c r="X94" s="94">
        <f t="shared" si="22"/>
        <v>-2</v>
      </c>
      <c r="Y94" s="106">
        <v>0</v>
      </c>
      <c r="Z94" s="106"/>
      <c r="AA94" s="95">
        <f t="shared" si="23"/>
        <v>14</v>
      </c>
      <c r="AB94" s="105">
        <v>5</v>
      </c>
      <c r="AC94" s="104">
        <v>5</v>
      </c>
    </row>
    <row r="95" spans="1:29" ht="12.75">
      <c r="A95" s="87"/>
      <c r="B95" s="64" t="s">
        <v>549</v>
      </c>
      <c r="C95" s="88">
        <f t="shared" si="10"/>
        <v>10</v>
      </c>
      <c r="D95" s="64" t="s">
        <v>469</v>
      </c>
      <c r="E95" s="64" t="str">
        <f t="shared" si="20"/>
        <v>Capital</v>
      </c>
      <c r="F95" s="90" t="s">
        <v>643</v>
      </c>
      <c r="G95" s="89"/>
      <c r="H95" s="89"/>
      <c r="I95" s="105">
        <v>5</v>
      </c>
      <c r="J95" s="105">
        <v>7</v>
      </c>
      <c r="K95" s="105">
        <v>0</v>
      </c>
      <c r="L95" s="89"/>
      <c r="M95" s="105">
        <v>0</v>
      </c>
      <c r="N95" s="90" t="s">
        <v>2</v>
      </c>
      <c r="O95" s="90"/>
      <c r="P95" s="90"/>
      <c r="Q95" s="90"/>
      <c r="R95" s="90"/>
      <c r="S95" s="91">
        <f t="shared" si="18"/>
        <v>39</v>
      </c>
      <c r="T95" s="91">
        <f t="shared" si="21"/>
        <v>15</v>
      </c>
      <c r="U95" s="105">
        <v>4</v>
      </c>
      <c r="V95" s="105">
        <v>16</v>
      </c>
      <c r="W95" s="93">
        <f t="shared" si="19"/>
        <v>4</v>
      </c>
      <c r="X95" s="94">
        <f t="shared" si="22"/>
        <v>-2</v>
      </c>
      <c r="Y95" s="106">
        <v>-3</v>
      </c>
      <c r="Z95" s="106"/>
      <c r="AA95" s="95">
        <f t="shared" si="23"/>
        <v>10</v>
      </c>
      <c r="AB95" s="105">
        <v>5</v>
      </c>
      <c r="AC95" s="104">
        <v>5</v>
      </c>
    </row>
    <row r="96" spans="1:29" ht="12.75">
      <c r="A96" s="87"/>
      <c r="B96" s="64" t="s">
        <v>550</v>
      </c>
      <c r="C96" s="88">
        <f t="shared" si="10"/>
        <v>10</v>
      </c>
      <c r="D96" s="64" t="s">
        <v>469</v>
      </c>
      <c r="E96" s="64" t="str">
        <f t="shared" si="20"/>
        <v>Capital</v>
      </c>
      <c r="F96" s="90" t="s">
        <v>643</v>
      </c>
      <c r="G96" s="89"/>
      <c r="H96" s="89"/>
      <c r="I96" s="105">
        <v>2</v>
      </c>
      <c r="J96" s="105">
        <v>12</v>
      </c>
      <c r="K96" s="105">
        <v>3</v>
      </c>
      <c r="L96" s="89"/>
      <c r="M96" s="105">
        <v>0</v>
      </c>
      <c r="N96" s="90" t="s">
        <v>2</v>
      </c>
      <c r="O96" s="90"/>
      <c r="P96" s="90"/>
      <c r="Q96" s="90"/>
      <c r="R96" s="90"/>
      <c r="S96" s="91">
        <f t="shared" si="18"/>
        <v>40</v>
      </c>
      <c r="T96" s="91">
        <f t="shared" si="21"/>
        <v>15</v>
      </c>
      <c r="U96" s="105">
        <v>4</v>
      </c>
      <c r="V96" s="105">
        <v>16</v>
      </c>
      <c r="W96" s="93">
        <f t="shared" si="19"/>
        <v>4</v>
      </c>
      <c r="X96" s="94">
        <f t="shared" si="22"/>
        <v>-2</v>
      </c>
      <c r="Y96" s="106">
        <v>-3</v>
      </c>
      <c r="Z96" s="106"/>
      <c r="AA96" s="95">
        <f t="shared" si="23"/>
        <v>10</v>
      </c>
      <c r="AB96" s="105">
        <v>5</v>
      </c>
      <c r="AC96" s="104">
        <v>5</v>
      </c>
    </row>
    <row r="97" spans="1:29" ht="12.75">
      <c r="A97" s="87"/>
      <c r="B97" s="64" t="s">
        <v>551</v>
      </c>
      <c r="C97" s="88">
        <f t="shared" si="10"/>
        <v>5</v>
      </c>
      <c r="D97" s="64" t="s">
        <v>12</v>
      </c>
      <c r="E97" s="64" t="str">
        <f t="shared" si="20"/>
        <v>HCV</v>
      </c>
      <c r="F97" s="90" t="s">
        <v>650</v>
      </c>
      <c r="G97" s="89"/>
      <c r="H97" s="89"/>
      <c r="I97" s="105">
        <v>0</v>
      </c>
      <c r="J97" s="105">
        <v>4</v>
      </c>
      <c r="K97" s="105">
        <v>2</v>
      </c>
      <c r="L97" s="89">
        <v>4</v>
      </c>
      <c r="M97" s="105">
        <v>0</v>
      </c>
      <c r="N97" s="90"/>
      <c r="O97" s="90"/>
      <c r="P97" s="90"/>
      <c r="Q97" s="90"/>
      <c r="R97" s="90"/>
      <c r="S97" s="91">
        <f t="shared" si="18"/>
        <v>11</v>
      </c>
      <c r="T97" s="91">
        <f t="shared" si="21"/>
        <v>9</v>
      </c>
      <c r="U97" s="105">
        <v>2</v>
      </c>
      <c r="V97" s="105">
        <v>10</v>
      </c>
      <c r="W97" s="93">
        <f t="shared" si="19"/>
        <v>5</v>
      </c>
      <c r="X97" s="94">
        <f t="shared" si="22"/>
        <v>-3</v>
      </c>
      <c r="Y97" s="92"/>
      <c r="Z97" s="92">
        <v>-1</v>
      </c>
      <c r="AA97" s="95">
        <f t="shared" si="23"/>
        <v>5</v>
      </c>
      <c r="AB97" s="105">
        <v>4</v>
      </c>
      <c r="AC97" s="104">
        <v>2</v>
      </c>
    </row>
    <row r="98" spans="1:29" ht="12.75">
      <c r="A98" s="87"/>
      <c r="B98" s="64" t="s">
        <v>552</v>
      </c>
      <c r="C98" s="88">
        <f t="shared" si="10"/>
        <v>6</v>
      </c>
      <c r="D98" s="64" t="s">
        <v>12</v>
      </c>
      <c r="E98" s="64" t="str">
        <f t="shared" si="20"/>
        <v>HCV</v>
      </c>
      <c r="F98" s="90" t="s">
        <v>650</v>
      </c>
      <c r="G98" s="89"/>
      <c r="H98" s="89"/>
      <c r="I98" s="105">
        <v>2</v>
      </c>
      <c r="J98" s="105">
        <v>4</v>
      </c>
      <c r="K98" s="105">
        <v>0</v>
      </c>
      <c r="L98" s="89"/>
      <c r="M98" s="105">
        <v>0</v>
      </c>
      <c r="N98" s="90"/>
      <c r="O98" s="90"/>
      <c r="P98" s="90"/>
      <c r="Q98" s="90"/>
      <c r="R98" s="90"/>
      <c r="S98" s="91">
        <f t="shared" si="18"/>
        <v>16</v>
      </c>
      <c r="T98" s="91">
        <f t="shared" si="21"/>
        <v>10</v>
      </c>
      <c r="U98" s="105">
        <v>2</v>
      </c>
      <c r="V98" s="105">
        <v>10</v>
      </c>
      <c r="W98" s="93">
        <f t="shared" si="19"/>
        <v>5</v>
      </c>
      <c r="X98" s="94">
        <f t="shared" si="22"/>
        <v>-3</v>
      </c>
      <c r="Y98" s="92"/>
      <c r="Z98" s="92">
        <v>-1</v>
      </c>
      <c r="AA98" s="95">
        <f t="shared" si="23"/>
        <v>6</v>
      </c>
      <c r="AB98" s="105">
        <v>4</v>
      </c>
      <c r="AC98" s="104">
        <v>2</v>
      </c>
    </row>
    <row r="99" spans="1:29" ht="12.75">
      <c r="A99" s="87"/>
      <c r="B99" s="64" t="s">
        <v>553</v>
      </c>
      <c r="C99" s="88">
        <f t="shared" si="10"/>
        <v>6</v>
      </c>
      <c r="D99" s="64" t="s">
        <v>611</v>
      </c>
      <c r="E99" s="64" t="str">
        <f t="shared" si="20"/>
        <v>HCV</v>
      </c>
      <c r="F99" s="90" t="s">
        <v>612</v>
      </c>
      <c r="G99" s="89"/>
      <c r="H99" s="89"/>
      <c r="I99" s="105">
        <v>0</v>
      </c>
      <c r="J99" s="105">
        <v>3</v>
      </c>
      <c r="K99" s="105">
        <v>2</v>
      </c>
      <c r="L99" s="89"/>
      <c r="M99" s="105">
        <v>2</v>
      </c>
      <c r="N99" s="90"/>
      <c r="O99" s="90"/>
      <c r="P99" s="90"/>
      <c r="Q99" s="90"/>
      <c r="R99" s="90"/>
      <c r="S99" s="91">
        <f t="shared" si="18"/>
        <v>18</v>
      </c>
      <c r="T99" s="91">
        <f t="shared" si="21"/>
        <v>11</v>
      </c>
      <c r="U99" s="105">
        <v>3</v>
      </c>
      <c r="V99" s="105">
        <v>10</v>
      </c>
      <c r="W99" s="93">
        <f t="shared" si="19"/>
        <v>3.3333333333333335</v>
      </c>
      <c r="X99" s="94">
        <f t="shared" si="22"/>
        <v>-2</v>
      </c>
      <c r="Y99" s="106">
        <v>-3</v>
      </c>
      <c r="Z99" s="106"/>
      <c r="AA99" s="95">
        <f t="shared" si="23"/>
        <v>6</v>
      </c>
      <c r="AB99" s="90" t="s">
        <v>686</v>
      </c>
      <c r="AC99" s="104">
        <v>3</v>
      </c>
    </row>
    <row r="100" spans="1:29" ht="12.75">
      <c r="A100" s="87"/>
      <c r="B100" s="64" t="s">
        <v>545</v>
      </c>
      <c r="C100" s="88">
        <f t="shared" si="10"/>
        <v>6</v>
      </c>
      <c r="D100" s="64" t="s">
        <v>611</v>
      </c>
      <c r="E100" s="64" t="str">
        <f t="shared" si="20"/>
        <v>HCV</v>
      </c>
      <c r="F100" s="90" t="s">
        <v>612</v>
      </c>
      <c r="G100" s="89"/>
      <c r="H100" s="89"/>
      <c r="I100" s="105">
        <v>0</v>
      </c>
      <c r="J100" s="105">
        <v>5</v>
      </c>
      <c r="K100" s="105">
        <v>0</v>
      </c>
      <c r="L100" s="89"/>
      <c r="M100" s="105">
        <v>2</v>
      </c>
      <c r="N100" s="90"/>
      <c r="O100" s="90"/>
      <c r="P100" s="90"/>
      <c r="Q100" s="90"/>
      <c r="R100" s="90"/>
      <c r="S100" s="91">
        <f t="shared" si="18"/>
        <v>20</v>
      </c>
      <c r="T100" s="91">
        <f t="shared" si="21"/>
        <v>11</v>
      </c>
      <c r="U100" s="105">
        <v>3</v>
      </c>
      <c r="V100" s="105">
        <v>10</v>
      </c>
      <c r="W100" s="93">
        <f t="shared" si="19"/>
        <v>3.3333333333333335</v>
      </c>
      <c r="X100" s="94">
        <f t="shared" si="22"/>
        <v>-2</v>
      </c>
      <c r="Y100" s="106">
        <v>-3</v>
      </c>
      <c r="Z100" s="106"/>
      <c r="AA100" s="95">
        <f t="shared" si="23"/>
        <v>6</v>
      </c>
      <c r="AB100" s="90" t="s">
        <v>686</v>
      </c>
      <c r="AC100" s="104">
        <v>3</v>
      </c>
    </row>
    <row r="101" spans="1:29" ht="12.75">
      <c r="A101" s="87"/>
      <c r="B101" s="64" t="s">
        <v>554</v>
      </c>
      <c r="C101" s="88" t="e">
        <f t="shared" si="10"/>
        <v>#DIV/0!</v>
      </c>
      <c r="D101" s="64" t="s">
        <v>469</v>
      </c>
      <c r="E101" s="64" t="str">
        <f t="shared" si="20"/>
        <v>Fighter</v>
      </c>
      <c r="F101" s="90"/>
      <c r="G101" s="89"/>
      <c r="H101" s="89"/>
      <c r="I101" s="89"/>
      <c r="J101" s="89"/>
      <c r="K101" s="89"/>
      <c r="L101" s="89"/>
      <c r="M101" s="89"/>
      <c r="N101" s="90"/>
      <c r="O101" s="90"/>
      <c r="P101" s="90"/>
      <c r="Q101" s="90"/>
      <c r="R101" s="90"/>
      <c r="S101" s="91">
        <f t="shared" si="18"/>
        <v>0</v>
      </c>
      <c r="T101" s="91">
        <f t="shared" si="21"/>
        <v>2</v>
      </c>
      <c r="U101" s="90"/>
      <c r="V101" s="90"/>
      <c r="W101" s="93" t="e">
        <f t="shared" si="19"/>
        <v>#DIV/0!</v>
      </c>
      <c r="X101" s="94" t="e">
        <f t="shared" si="22"/>
        <v>#DIV/0!</v>
      </c>
      <c r="Y101" s="106">
        <v>-1</v>
      </c>
      <c r="Z101" s="106"/>
      <c r="AA101" s="95" t="e">
        <f t="shared" si="23"/>
        <v>#DIV/0!</v>
      </c>
      <c r="AB101" s="90"/>
      <c r="AC101" s="96"/>
    </row>
    <row r="102" spans="1:29" ht="12.75">
      <c r="A102" s="87"/>
      <c r="B102" s="64" t="s">
        <v>547</v>
      </c>
      <c r="C102" s="88" t="e">
        <f t="shared" si="10"/>
        <v>#DIV/0!</v>
      </c>
      <c r="D102" s="64" t="s">
        <v>469</v>
      </c>
      <c r="E102" s="64" t="str">
        <f t="shared" si="20"/>
        <v>Fighter</v>
      </c>
      <c r="F102" s="90"/>
      <c r="G102" s="89"/>
      <c r="H102" s="89"/>
      <c r="I102" s="89"/>
      <c r="J102" s="89"/>
      <c r="K102" s="89"/>
      <c r="L102" s="89"/>
      <c r="M102" s="89"/>
      <c r="N102" s="90"/>
      <c r="O102" s="90"/>
      <c r="P102" s="90"/>
      <c r="Q102" s="90"/>
      <c r="R102" s="90"/>
      <c r="S102" s="91">
        <f t="shared" si="18"/>
        <v>0</v>
      </c>
      <c r="T102" s="91">
        <f t="shared" si="21"/>
        <v>2</v>
      </c>
      <c r="U102" s="90"/>
      <c r="V102" s="90"/>
      <c r="W102" s="93" t="e">
        <f t="shared" si="19"/>
        <v>#DIV/0!</v>
      </c>
      <c r="X102" s="94" t="e">
        <f t="shared" si="22"/>
        <v>#DIV/0!</v>
      </c>
      <c r="Y102" s="106">
        <v>-2</v>
      </c>
      <c r="Z102" s="106"/>
      <c r="AA102" s="95" t="e">
        <f t="shared" si="23"/>
        <v>#DIV/0!</v>
      </c>
      <c r="AB102" s="90"/>
      <c r="AC102" s="96"/>
    </row>
    <row r="103" spans="2:29" ht="12.75">
      <c r="B103" s="12" t="s">
        <v>69</v>
      </c>
      <c r="C103" s="88">
        <f>VLOOKUP(B103,Fighters,19,FALSE)</f>
        <v>0</v>
      </c>
      <c r="D103" s="64"/>
      <c r="E103" s="64"/>
      <c r="F103" s="90"/>
      <c r="G103" s="89"/>
      <c r="H103" s="89"/>
      <c r="I103" s="89"/>
      <c r="J103" s="89"/>
      <c r="K103" s="89"/>
      <c r="L103" s="89"/>
      <c r="M103" s="89"/>
      <c r="N103" s="90"/>
      <c r="O103" s="90"/>
      <c r="P103" s="90"/>
      <c r="Q103" s="90"/>
      <c r="R103" s="90"/>
      <c r="S103" s="91">
        <f t="shared" si="18"/>
        <v>0</v>
      </c>
      <c r="T103" s="91">
        <f t="shared" si="21"/>
        <v>2</v>
      </c>
      <c r="U103" s="90"/>
      <c r="V103" s="90"/>
      <c r="W103" s="93" t="e">
        <f t="shared" si="19"/>
        <v>#DIV/0!</v>
      </c>
      <c r="X103" s="94" t="e">
        <f t="shared" si="22"/>
        <v>#DIV/0!</v>
      </c>
      <c r="Y103" s="92"/>
      <c r="Z103" s="92"/>
      <c r="AA103" s="95" t="e">
        <f t="shared" si="23"/>
        <v>#DIV/0!</v>
      </c>
      <c r="AB103" s="90"/>
      <c r="AC103" s="96"/>
    </row>
    <row r="104" spans="1:29" ht="12.75">
      <c r="A104" s="12"/>
      <c r="B104" s="12" t="s">
        <v>63</v>
      </c>
      <c r="C104" s="88">
        <f>VLOOKUP(B104,Fighters,19,FALSE)</f>
        <v>0</v>
      </c>
      <c r="D104" s="64"/>
      <c r="E104" s="64"/>
      <c r="F104" s="90"/>
      <c r="G104" s="89"/>
      <c r="H104" s="89"/>
      <c r="I104" s="89"/>
      <c r="J104" s="89"/>
      <c r="K104" s="89"/>
      <c r="L104" s="89"/>
      <c r="M104" s="89"/>
      <c r="N104" s="90"/>
      <c r="O104" s="90"/>
      <c r="P104" s="90"/>
      <c r="Q104" s="90"/>
      <c r="R104" s="90"/>
      <c r="S104" s="91"/>
      <c r="T104" s="91"/>
      <c r="U104" s="90"/>
      <c r="V104" s="90"/>
      <c r="W104" s="93"/>
      <c r="X104" s="94"/>
      <c r="Y104" s="92"/>
      <c r="Z104" s="92"/>
      <c r="AA104" s="95"/>
      <c r="AB104" s="90"/>
      <c r="AC104" s="96"/>
    </row>
    <row r="105" spans="2:29" ht="12.75">
      <c r="B105" s="64"/>
      <c r="C105" s="88"/>
      <c r="D105" s="64"/>
      <c r="E105" s="64"/>
      <c r="F105" s="90"/>
      <c r="G105" s="89"/>
      <c r="H105" s="89"/>
      <c r="I105" s="89"/>
      <c r="J105" s="89"/>
      <c r="K105" s="89"/>
      <c r="L105" s="89"/>
      <c r="M105" s="89"/>
      <c r="N105" s="90"/>
      <c r="O105" s="90"/>
      <c r="P105" s="90"/>
      <c r="Q105" s="90"/>
      <c r="R105" s="90"/>
      <c r="S105" s="91"/>
      <c r="T105" s="91"/>
      <c r="U105" s="90"/>
      <c r="V105" s="90"/>
      <c r="W105" s="93"/>
      <c r="X105" s="94"/>
      <c r="Y105" s="92"/>
      <c r="Z105" s="92"/>
      <c r="AA105" s="95"/>
      <c r="AB105" s="90"/>
      <c r="AC105" s="96"/>
    </row>
    <row r="106" spans="1:29" ht="12.75">
      <c r="A106" s="78" t="s">
        <v>555</v>
      </c>
      <c r="B106" s="79"/>
      <c r="C106" s="88">
        <f t="shared" si="10"/>
        <v>0</v>
      </c>
      <c r="D106" s="79"/>
      <c r="E106" s="79"/>
      <c r="F106" s="81"/>
      <c r="G106" s="82"/>
      <c r="H106" s="82"/>
      <c r="I106" s="82"/>
      <c r="J106" s="82"/>
      <c r="K106" s="82"/>
      <c r="L106" s="82"/>
      <c r="M106" s="82"/>
      <c r="N106" s="81"/>
      <c r="O106" s="81"/>
      <c r="P106" s="81"/>
      <c r="Q106" s="81"/>
      <c r="R106" s="81"/>
      <c r="S106" s="81">
        <f t="shared" si="18"/>
        <v>0</v>
      </c>
      <c r="T106" s="81"/>
      <c r="U106" s="81"/>
      <c r="V106" s="81"/>
      <c r="W106" s="84"/>
      <c r="X106" s="85"/>
      <c r="Y106" s="83"/>
      <c r="Z106" s="83"/>
      <c r="AA106" s="85"/>
      <c r="AB106" s="81"/>
      <c r="AC106" s="86"/>
    </row>
    <row r="107" spans="1:29" ht="12.75">
      <c r="A107" s="87"/>
      <c r="B107" s="64" t="s">
        <v>560</v>
      </c>
      <c r="C107" s="88">
        <f t="shared" si="10"/>
        <v>4</v>
      </c>
      <c r="D107" s="64" t="s">
        <v>12</v>
      </c>
      <c r="E107" s="64" t="str">
        <f aca="true" t="shared" si="24" ref="E107:E115">VLOOKUP(S107,size,3)</f>
        <v>Medium</v>
      </c>
      <c r="F107" s="108" t="s">
        <v>661</v>
      </c>
      <c r="G107" s="89"/>
      <c r="H107" s="89"/>
      <c r="I107" s="105">
        <v>0</v>
      </c>
      <c r="J107" s="105">
        <v>1</v>
      </c>
      <c r="K107" s="105">
        <v>4</v>
      </c>
      <c r="L107" s="105"/>
      <c r="M107" s="105">
        <v>0</v>
      </c>
      <c r="N107" s="90"/>
      <c r="O107" s="90"/>
      <c r="P107" s="90"/>
      <c r="Q107" s="90"/>
      <c r="R107" s="90"/>
      <c r="S107" s="91">
        <f t="shared" si="18"/>
        <v>6</v>
      </c>
      <c r="T107" s="91">
        <f aca="true" t="shared" si="25" ref="T107:T116">VLOOKUP(S107,size,2)</f>
        <v>7</v>
      </c>
      <c r="U107" s="105">
        <v>2</v>
      </c>
      <c r="V107" s="105">
        <v>8</v>
      </c>
      <c r="W107" s="93">
        <f t="shared" si="19"/>
        <v>4</v>
      </c>
      <c r="X107" s="94">
        <f aca="true" t="shared" si="26" ref="X107:X115">-ROUND(V107/U107/2,0)</f>
        <v>-2</v>
      </c>
      <c r="Y107" s="92"/>
      <c r="Z107" s="92">
        <v>-1</v>
      </c>
      <c r="AA107" s="95">
        <f aca="true" t="shared" si="27" ref="AA107:AA115">ROUND(T107+X107+Y107+Z107,0)</f>
        <v>4</v>
      </c>
      <c r="AB107" s="105">
        <v>1</v>
      </c>
      <c r="AC107" s="104">
        <v>1</v>
      </c>
    </row>
    <row r="108" spans="1:29" ht="12.75">
      <c r="A108" s="87"/>
      <c r="B108" s="64" t="s">
        <v>556</v>
      </c>
      <c r="C108" s="88">
        <f>AA108</f>
        <v>13</v>
      </c>
      <c r="D108" s="64" t="s">
        <v>469</v>
      </c>
      <c r="E108" s="64" t="str">
        <f>VLOOKUP(S108,size,3)</f>
        <v>Capital</v>
      </c>
      <c r="F108" s="90" t="s">
        <v>612</v>
      </c>
      <c r="G108" s="89"/>
      <c r="H108" s="89"/>
      <c r="I108" s="105">
        <v>0</v>
      </c>
      <c r="J108" s="105">
        <v>7</v>
      </c>
      <c r="K108" s="105">
        <v>2</v>
      </c>
      <c r="L108" s="105">
        <v>2</v>
      </c>
      <c r="M108" s="105">
        <v>2.5</v>
      </c>
      <c r="N108" s="90" t="s">
        <v>2</v>
      </c>
      <c r="O108" s="90"/>
      <c r="P108" s="90"/>
      <c r="Q108" s="90"/>
      <c r="R108" s="90"/>
      <c r="S108" s="91">
        <f>ROUND(G$2*G108+H$2*H108+I$2*I108+J$2*J108+K$2*K108+L$2*L108+M$2*M108+IF(N108="Y",N$2,0)+IF(O108="Y",O$2,0)+P$2*P108+R108,0)</f>
        <v>34</v>
      </c>
      <c r="T108" s="91">
        <f>VLOOKUP(S108,size,2)</f>
        <v>14</v>
      </c>
      <c r="U108" s="105">
        <v>3</v>
      </c>
      <c r="V108" s="105">
        <v>8</v>
      </c>
      <c r="W108" s="93">
        <f>V108/U108</f>
        <v>2.6666666666666665</v>
      </c>
      <c r="X108" s="94">
        <f>-ROUND(V108/U108/2,0)</f>
        <v>-1</v>
      </c>
      <c r="Y108" s="92"/>
      <c r="Z108" s="92"/>
      <c r="AA108" s="95">
        <f>ROUND(T108+X108+Y108+Z108,0)</f>
        <v>13</v>
      </c>
      <c r="AB108" s="105">
        <v>4</v>
      </c>
      <c r="AC108" s="104">
        <v>4</v>
      </c>
    </row>
    <row r="109" spans="1:29" ht="12.75">
      <c r="A109" s="87"/>
      <c r="B109" s="64" t="s">
        <v>563</v>
      </c>
      <c r="C109" s="88">
        <f>AA109</f>
        <v>13</v>
      </c>
      <c r="D109" s="64" t="s">
        <v>469</v>
      </c>
      <c r="E109" s="64" t="str">
        <f t="shared" si="24"/>
        <v>Capital</v>
      </c>
      <c r="F109" s="90" t="s">
        <v>612</v>
      </c>
      <c r="G109" s="89"/>
      <c r="H109" s="89"/>
      <c r="I109" s="105">
        <v>0</v>
      </c>
      <c r="J109" s="105">
        <v>6</v>
      </c>
      <c r="K109" s="105">
        <v>5</v>
      </c>
      <c r="L109" s="105">
        <v>2</v>
      </c>
      <c r="M109" s="105">
        <v>2.5</v>
      </c>
      <c r="N109" s="90" t="s">
        <v>2</v>
      </c>
      <c r="O109" s="90"/>
      <c r="P109" s="90"/>
      <c r="Q109" s="90"/>
      <c r="R109" s="90"/>
      <c r="S109" s="91">
        <f>ROUND(G$2*G109+H$2*H109+I$2*I109+J$2*J109+K$2*K109+L$2*L109+M$2*M109+IF(N109="Y",N$2,0)+IF(O109="Y",O$2,0)+P$2*P109+R109,0)</f>
        <v>35</v>
      </c>
      <c r="T109" s="91">
        <f t="shared" si="25"/>
        <v>14</v>
      </c>
      <c r="U109" s="105">
        <v>3</v>
      </c>
      <c r="V109" s="105">
        <v>8</v>
      </c>
      <c r="W109" s="93">
        <f>V109/U109</f>
        <v>2.6666666666666665</v>
      </c>
      <c r="X109" s="94">
        <f>-ROUND(V109/U109/2,0)</f>
        <v>-1</v>
      </c>
      <c r="Y109" s="92"/>
      <c r="Z109" s="92"/>
      <c r="AA109" s="95">
        <f t="shared" si="27"/>
        <v>13</v>
      </c>
      <c r="AB109" s="105">
        <v>4</v>
      </c>
      <c r="AC109" s="104">
        <v>4</v>
      </c>
    </row>
    <row r="110" spans="1:29" ht="12.75">
      <c r="A110" s="87"/>
      <c r="B110" s="64" t="s">
        <v>688</v>
      </c>
      <c r="C110" s="88">
        <f t="shared" si="10"/>
        <v>14</v>
      </c>
      <c r="D110" s="64" t="s">
        <v>469</v>
      </c>
      <c r="E110" s="64" t="str">
        <f t="shared" si="24"/>
        <v>Capital</v>
      </c>
      <c r="F110" s="90" t="s">
        <v>612</v>
      </c>
      <c r="G110" s="89"/>
      <c r="H110" s="89"/>
      <c r="I110" s="105">
        <v>0</v>
      </c>
      <c r="J110" s="105">
        <v>7</v>
      </c>
      <c r="K110" s="105">
        <v>2</v>
      </c>
      <c r="L110" s="89"/>
      <c r="M110" s="105">
        <v>3.5</v>
      </c>
      <c r="N110" s="90" t="s">
        <v>2</v>
      </c>
      <c r="O110" s="90"/>
      <c r="P110" s="90"/>
      <c r="Q110" s="90"/>
      <c r="R110" s="90"/>
      <c r="S110" s="91">
        <f t="shared" si="18"/>
        <v>39</v>
      </c>
      <c r="T110" s="91">
        <f t="shared" si="25"/>
        <v>15</v>
      </c>
      <c r="U110" s="105">
        <v>3</v>
      </c>
      <c r="V110" s="105">
        <v>8</v>
      </c>
      <c r="W110" s="93">
        <f t="shared" si="19"/>
        <v>2.6666666666666665</v>
      </c>
      <c r="X110" s="94">
        <f t="shared" si="26"/>
        <v>-1</v>
      </c>
      <c r="Y110" s="92"/>
      <c r="Z110" s="92"/>
      <c r="AA110" s="95">
        <f t="shared" si="27"/>
        <v>14</v>
      </c>
      <c r="AB110" s="105">
        <v>4</v>
      </c>
      <c r="AC110" s="104">
        <v>4</v>
      </c>
    </row>
    <row r="111" spans="1:29" ht="12.75">
      <c r="A111" s="87"/>
      <c r="B111" s="64" t="s">
        <v>559</v>
      </c>
      <c r="C111" s="88">
        <f t="shared" si="10"/>
        <v>7</v>
      </c>
      <c r="D111" s="64" t="s">
        <v>611</v>
      </c>
      <c r="E111" s="64" t="str">
        <f t="shared" si="24"/>
        <v>HCV</v>
      </c>
      <c r="F111" s="90" t="s">
        <v>650</v>
      </c>
      <c r="G111" s="89"/>
      <c r="H111" s="89"/>
      <c r="I111" s="105">
        <v>0</v>
      </c>
      <c r="J111" s="105">
        <v>5</v>
      </c>
      <c r="K111" s="105">
        <v>2</v>
      </c>
      <c r="L111" s="89"/>
      <c r="M111" s="105">
        <v>0</v>
      </c>
      <c r="N111" s="90"/>
      <c r="O111" s="90"/>
      <c r="P111" s="90"/>
      <c r="Q111" s="90"/>
      <c r="R111" s="90"/>
      <c r="S111" s="91">
        <f t="shared" si="18"/>
        <v>12</v>
      </c>
      <c r="T111" s="91">
        <f t="shared" si="25"/>
        <v>9</v>
      </c>
      <c r="U111" s="105">
        <v>2</v>
      </c>
      <c r="V111" s="105">
        <v>9</v>
      </c>
      <c r="W111" s="93">
        <f t="shared" si="19"/>
        <v>4.5</v>
      </c>
      <c r="X111" s="94">
        <f t="shared" si="26"/>
        <v>-2</v>
      </c>
      <c r="Y111" s="92"/>
      <c r="Z111" s="92"/>
      <c r="AA111" s="95">
        <f t="shared" si="27"/>
        <v>7</v>
      </c>
      <c r="AB111" s="105">
        <v>5</v>
      </c>
      <c r="AC111" s="104">
        <v>3</v>
      </c>
    </row>
    <row r="112" spans="1:29" ht="12.75">
      <c r="A112" s="87"/>
      <c r="B112" s="64" t="s">
        <v>562</v>
      </c>
      <c r="C112" s="88">
        <f t="shared" si="10"/>
        <v>7</v>
      </c>
      <c r="D112" s="64" t="s">
        <v>611</v>
      </c>
      <c r="E112" s="64" t="str">
        <f t="shared" si="24"/>
        <v>HCV</v>
      </c>
      <c r="F112" s="90" t="s">
        <v>650</v>
      </c>
      <c r="G112" s="89"/>
      <c r="H112" s="89"/>
      <c r="I112" s="105">
        <v>0</v>
      </c>
      <c r="J112" s="105">
        <v>5</v>
      </c>
      <c r="K112" s="105">
        <v>2</v>
      </c>
      <c r="L112" s="89"/>
      <c r="M112" s="105">
        <v>0</v>
      </c>
      <c r="N112" s="90"/>
      <c r="O112" s="90"/>
      <c r="P112" s="90"/>
      <c r="Q112" s="90"/>
      <c r="R112" s="90"/>
      <c r="S112" s="91">
        <f t="shared" si="18"/>
        <v>12</v>
      </c>
      <c r="T112" s="91">
        <f t="shared" si="25"/>
        <v>9</v>
      </c>
      <c r="U112" s="105">
        <v>2</v>
      </c>
      <c r="V112" s="105">
        <v>8</v>
      </c>
      <c r="W112" s="93">
        <f t="shared" si="19"/>
        <v>4</v>
      </c>
      <c r="X112" s="94">
        <f t="shared" si="26"/>
        <v>-2</v>
      </c>
      <c r="Y112" s="92"/>
      <c r="Z112" s="92"/>
      <c r="AA112" s="95">
        <f t="shared" si="27"/>
        <v>7</v>
      </c>
      <c r="AB112" s="105">
        <v>4</v>
      </c>
      <c r="AC112" s="104">
        <v>3</v>
      </c>
    </row>
    <row r="113" spans="1:29" ht="12.75">
      <c r="A113" s="87"/>
      <c r="B113" s="64" t="s">
        <v>558</v>
      </c>
      <c r="C113" s="88">
        <f>AA113</f>
        <v>8</v>
      </c>
      <c r="D113" s="64" t="s">
        <v>611</v>
      </c>
      <c r="E113" s="64" t="str">
        <f>VLOOKUP(S113,size,3)</f>
        <v>HCV</v>
      </c>
      <c r="F113" s="90" t="s">
        <v>650</v>
      </c>
      <c r="G113" s="89"/>
      <c r="H113" s="89"/>
      <c r="I113" s="105">
        <v>0</v>
      </c>
      <c r="J113" s="105">
        <v>5</v>
      </c>
      <c r="K113" s="105">
        <v>2</v>
      </c>
      <c r="L113" s="89"/>
      <c r="M113" s="105">
        <v>0</v>
      </c>
      <c r="N113" s="90" t="s">
        <v>2</v>
      </c>
      <c r="O113" s="90"/>
      <c r="P113" s="90"/>
      <c r="Q113" s="90"/>
      <c r="R113" s="90"/>
      <c r="S113" s="91">
        <f>ROUND(G$2*G113+H$2*H113+I$2*I113+J$2*J113+K$2*K113+L$2*L113+M$2*M113+IF(N113="Y",N$2,0)+IF(O113="Y",O$2,0)+P$2*P113+R113,0)</f>
        <v>17</v>
      </c>
      <c r="T113" s="91">
        <f>VLOOKUP(S113,size,2)</f>
        <v>10</v>
      </c>
      <c r="U113" s="105">
        <v>2</v>
      </c>
      <c r="V113" s="105">
        <v>8</v>
      </c>
      <c r="W113" s="93">
        <f>V113/U113</f>
        <v>4</v>
      </c>
      <c r="X113" s="94">
        <f>-ROUND(V113/U113/2,0)</f>
        <v>-2</v>
      </c>
      <c r="Y113" s="92"/>
      <c r="Z113" s="92"/>
      <c r="AA113" s="95">
        <f t="shared" si="27"/>
        <v>8</v>
      </c>
      <c r="AB113" s="105">
        <v>4</v>
      </c>
      <c r="AC113" s="104">
        <v>3</v>
      </c>
    </row>
    <row r="114" spans="1:29" ht="12.75">
      <c r="A114" s="87"/>
      <c r="B114" s="64" t="s">
        <v>557</v>
      </c>
      <c r="C114" s="88">
        <f t="shared" si="10"/>
        <v>7</v>
      </c>
      <c r="D114" s="64" t="s">
        <v>611</v>
      </c>
      <c r="E114" s="64" t="str">
        <f t="shared" si="24"/>
        <v>HCV</v>
      </c>
      <c r="F114" s="90" t="s">
        <v>650</v>
      </c>
      <c r="G114" s="89"/>
      <c r="H114" s="89"/>
      <c r="I114" s="105">
        <v>0</v>
      </c>
      <c r="J114" s="105">
        <v>5</v>
      </c>
      <c r="K114" s="105">
        <v>2</v>
      </c>
      <c r="L114" s="89"/>
      <c r="M114" s="105">
        <v>0</v>
      </c>
      <c r="N114" s="90"/>
      <c r="O114" s="90"/>
      <c r="P114" s="90"/>
      <c r="Q114" s="90"/>
      <c r="R114" s="90"/>
      <c r="S114" s="91">
        <f t="shared" si="18"/>
        <v>12</v>
      </c>
      <c r="T114" s="91">
        <f t="shared" si="25"/>
        <v>9</v>
      </c>
      <c r="U114" s="105">
        <v>2</v>
      </c>
      <c r="V114" s="105">
        <v>9</v>
      </c>
      <c r="W114" s="93">
        <f t="shared" si="19"/>
        <v>4.5</v>
      </c>
      <c r="X114" s="94">
        <f t="shared" si="26"/>
        <v>-2</v>
      </c>
      <c r="Y114" s="92"/>
      <c r="Z114" s="92"/>
      <c r="AA114" s="95">
        <f t="shared" si="27"/>
        <v>7</v>
      </c>
      <c r="AB114" s="105">
        <v>3</v>
      </c>
      <c r="AC114" s="104">
        <v>3</v>
      </c>
    </row>
    <row r="115" spans="1:29" ht="12.75">
      <c r="A115" s="12"/>
      <c r="B115" s="64" t="s">
        <v>689</v>
      </c>
      <c r="C115" s="88">
        <f t="shared" si="10"/>
        <v>6</v>
      </c>
      <c r="D115" s="64" t="s">
        <v>611</v>
      </c>
      <c r="E115" s="64" t="str">
        <f t="shared" si="24"/>
        <v>Medium</v>
      </c>
      <c r="F115" s="90" t="s">
        <v>650</v>
      </c>
      <c r="G115" s="89"/>
      <c r="H115" s="89"/>
      <c r="I115" s="105">
        <v>0</v>
      </c>
      <c r="J115" s="105">
        <v>4</v>
      </c>
      <c r="K115" s="105">
        <v>1</v>
      </c>
      <c r="L115" s="89"/>
      <c r="M115" s="105">
        <v>0</v>
      </c>
      <c r="N115" s="90"/>
      <c r="O115" s="90"/>
      <c r="P115" s="90"/>
      <c r="Q115" s="90"/>
      <c r="R115" s="90"/>
      <c r="S115" s="91">
        <f t="shared" si="18"/>
        <v>9</v>
      </c>
      <c r="T115" s="91">
        <f t="shared" si="25"/>
        <v>8</v>
      </c>
      <c r="U115" s="105">
        <v>2</v>
      </c>
      <c r="V115" s="105">
        <v>9</v>
      </c>
      <c r="W115" s="93">
        <f t="shared" si="19"/>
        <v>4.5</v>
      </c>
      <c r="X115" s="94">
        <f t="shared" si="26"/>
        <v>-2</v>
      </c>
      <c r="Y115" s="92"/>
      <c r="Z115" s="92"/>
      <c r="AA115" s="95">
        <f t="shared" si="27"/>
        <v>6</v>
      </c>
      <c r="AB115" s="105">
        <v>5</v>
      </c>
      <c r="AC115" s="104">
        <v>3</v>
      </c>
    </row>
    <row r="116" spans="1:29" ht="12.75">
      <c r="A116" s="12"/>
      <c r="B116" s="64" t="s">
        <v>962</v>
      </c>
      <c r="C116" s="88">
        <f>AA116</f>
        <v>7</v>
      </c>
      <c r="D116" s="64" t="s">
        <v>611</v>
      </c>
      <c r="E116" s="64" t="str">
        <f>VLOOKUP(S116,size,3)</f>
        <v>HCV</v>
      </c>
      <c r="F116" s="90" t="s">
        <v>650</v>
      </c>
      <c r="G116" s="89"/>
      <c r="H116" s="89"/>
      <c r="I116" s="105">
        <v>0</v>
      </c>
      <c r="J116" s="105"/>
      <c r="K116" s="105">
        <v>8</v>
      </c>
      <c r="L116" s="89"/>
      <c r="M116" s="105">
        <v>1</v>
      </c>
      <c r="N116" s="90"/>
      <c r="O116" s="90"/>
      <c r="P116" s="90"/>
      <c r="Q116" s="90"/>
      <c r="R116" s="90"/>
      <c r="S116" s="91">
        <f>ROUND(G$2*G116+H$2*H116+I$2*I116+J$2*J116+K$2*K116+L$2*L116+M$2*M116+IF(N116="Y",N$2,0)+IF(O116="Y",O$2,0)+P$2*P116+R116,0)</f>
        <v>13</v>
      </c>
      <c r="T116" s="91">
        <f t="shared" si="25"/>
        <v>9</v>
      </c>
      <c r="U116" s="105">
        <v>2</v>
      </c>
      <c r="V116" s="105">
        <v>9</v>
      </c>
      <c r="W116" s="93">
        <f>V116/U116</f>
        <v>4.5</v>
      </c>
      <c r="X116" s="94">
        <f>-ROUND(V116/U116/2,0)</f>
        <v>-2</v>
      </c>
      <c r="Y116" s="92"/>
      <c r="Z116" s="92"/>
      <c r="AA116" s="95">
        <f>ROUND(T116+X116+Y116+Z116,0)</f>
        <v>7</v>
      </c>
      <c r="AB116" s="105">
        <v>3</v>
      </c>
      <c r="AC116" s="104">
        <v>3</v>
      </c>
    </row>
    <row r="117" spans="2:29" ht="12.75">
      <c r="B117" s="12" t="s">
        <v>566</v>
      </c>
      <c r="C117" s="88">
        <f>VLOOKUP(B117,Fighters,19,FALSE)</f>
        <v>0</v>
      </c>
      <c r="D117" s="64"/>
      <c r="E117" s="64"/>
      <c r="F117" s="90"/>
      <c r="G117" s="89"/>
      <c r="H117" s="89"/>
      <c r="I117" s="105"/>
      <c r="J117" s="105"/>
      <c r="K117" s="105"/>
      <c r="L117" s="89"/>
      <c r="M117" s="105"/>
      <c r="N117" s="90"/>
      <c r="O117" s="90"/>
      <c r="P117" s="90"/>
      <c r="Q117" s="90"/>
      <c r="R117" s="90"/>
      <c r="S117" s="91"/>
      <c r="T117" s="91"/>
      <c r="U117" s="105"/>
      <c r="V117" s="105"/>
      <c r="W117" s="93"/>
      <c r="X117" s="94"/>
      <c r="Y117" s="92"/>
      <c r="Z117" s="92"/>
      <c r="AA117" s="95"/>
      <c r="AB117" s="105"/>
      <c r="AC117" s="104"/>
    </row>
    <row r="118" spans="1:29" ht="12.75">
      <c r="A118" s="87"/>
      <c r="B118" s="12" t="s">
        <v>66</v>
      </c>
      <c r="C118" s="88">
        <f>VLOOKUP(B118,Fighters,19,FALSE)</f>
        <v>0</v>
      </c>
      <c r="D118" s="64"/>
      <c r="E118" s="64"/>
      <c r="F118" s="90"/>
      <c r="G118" s="89"/>
      <c r="H118" s="89"/>
      <c r="I118" s="105"/>
      <c r="J118" s="105"/>
      <c r="K118" s="105"/>
      <c r="L118" s="89"/>
      <c r="M118" s="105"/>
      <c r="N118" s="90"/>
      <c r="O118" s="90"/>
      <c r="P118" s="90"/>
      <c r="Q118" s="90"/>
      <c r="R118" s="90"/>
      <c r="S118" s="91"/>
      <c r="T118" s="91"/>
      <c r="U118" s="105"/>
      <c r="V118" s="105"/>
      <c r="W118" s="93"/>
      <c r="X118" s="94"/>
      <c r="Y118" s="92"/>
      <c r="Z118" s="92"/>
      <c r="AA118" s="95"/>
      <c r="AB118" s="105"/>
      <c r="AC118" s="104"/>
    </row>
    <row r="119" spans="1:29" ht="25.5">
      <c r="A119" s="78" t="s">
        <v>690</v>
      </c>
      <c r="B119" s="79"/>
      <c r="C119" s="88">
        <f aca="true" t="shared" si="28" ref="C119:C155">AA119</f>
        <v>0</v>
      </c>
      <c r="D119" s="79"/>
      <c r="E119" s="79"/>
      <c r="F119" s="81"/>
      <c r="G119" s="82"/>
      <c r="H119" s="82"/>
      <c r="I119" s="82"/>
      <c r="J119" s="82"/>
      <c r="K119" s="82"/>
      <c r="L119" s="82"/>
      <c r="M119" s="82"/>
      <c r="N119" s="81"/>
      <c r="O119" s="81"/>
      <c r="P119" s="81"/>
      <c r="Q119" s="81"/>
      <c r="R119" s="81"/>
      <c r="S119" s="81">
        <f t="shared" si="18"/>
        <v>0</v>
      </c>
      <c r="T119" s="81"/>
      <c r="U119" s="81"/>
      <c r="V119" s="81"/>
      <c r="W119" s="84"/>
      <c r="X119" s="85"/>
      <c r="Y119" s="83"/>
      <c r="Z119" s="83"/>
      <c r="AA119" s="85"/>
      <c r="AB119" s="81"/>
      <c r="AC119" s="86"/>
    </row>
    <row r="120" spans="1:29" ht="12.75">
      <c r="A120" s="87"/>
      <c r="B120" s="64" t="s">
        <v>691</v>
      </c>
      <c r="C120" s="88">
        <f t="shared" si="28"/>
        <v>14</v>
      </c>
      <c r="D120" s="64" t="s">
        <v>469</v>
      </c>
      <c r="E120" s="64" t="str">
        <f aca="true" t="shared" si="29" ref="E120:E126">VLOOKUP(S120,size,3)</f>
        <v>Carrier</v>
      </c>
      <c r="F120" s="90" t="s">
        <v>643</v>
      </c>
      <c r="G120" s="89"/>
      <c r="H120" s="105">
        <v>3</v>
      </c>
      <c r="I120" s="105">
        <v>1</v>
      </c>
      <c r="J120" s="105">
        <v>6</v>
      </c>
      <c r="K120" s="105">
        <v>0</v>
      </c>
      <c r="L120" s="105">
        <v>4</v>
      </c>
      <c r="M120" s="105">
        <v>0</v>
      </c>
      <c r="N120" s="90" t="s">
        <v>2</v>
      </c>
      <c r="O120" s="90"/>
      <c r="P120" s="90"/>
      <c r="Q120" s="90" t="s">
        <v>692</v>
      </c>
      <c r="R120" s="90">
        <v>3</v>
      </c>
      <c r="S120" s="91">
        <f t="shared" si="18"/>
        <v>43</v>
      </c>
      <c r="T120" s="91">
        <f aca="true" t="shared" si="30" ref="T120:T127">VLOOKUP(S120,size,2)</f>
        <v>16</v>
      </c>
      <c r="U120" s="105">
        <v>3</v>
      </c>
      <c r="V120" s="105">
        <v>12</v>
      </c>
      <c r="W120" s="93">
        <f t="shared" si="19"/>
        <v>4</v>
      </c>
      <c r="X120" s="94">
        <f aca="true" t="shared" si="31" ref="X120:X126">-ROUND(V120/U120/2,0)</f>
        <v>-2</v>
      </c>
      <c r="Y120" s="92"/>
      <c r="Z120" s="92"/>
      <c r="AA120" s="95">
        <f aca="true" t="shared" si="32" ref="AA120:AA126">ROUND(T120+X120+Y120+Z120,0)</f>
        <v>14</v>
      </c>
      <c r="AB120" s="90" t="s">
        <v>655</v>
      </c>
      <c r="AC120" s="104">
        <v>4</v>
      </c>
    </row>
    <row r="121" spans="1:29" ht="12.75">
      <c r="A121" s="87"/>
      <c r="B121" s="64" t="s">
        <v>570</v>
      </c>
      <c r="C121" s="88">
        <f>AA121</f>
        <v>13</v>
      </c>
      <c r="D121" s="64" t="s">
        <v>469</v>
      </c>
      <c r="E121" s="64" t="str">
        <f t="shared" si="29"/>
        <v>Capital</v>
      </c>
      <c r="F121" s="90" t="s">
        <v>622</v>
      </c>
      <c r="G121" s="89"/>
      <c r="H121" s="105">
        <v>4</v>
      </c>
      <c r="I121" s="105">
        <v>2</v>
      </c>
      <c r="J121" s="105"/>
      <c r="K121" s="105">
        <v>0</v>
      </c>
      <c r="L121" s="105">
        <v>4</v>
      </c>
      <c r="M121" s="105">
        <v>0</v>
      </c>
      <c r="N121" s="90" t="s">
        <v>2</v>
      </c>
      <c r="O121" s="90"/>
      <c r="P121" s="90"/>
      <c r="Q121" s="90" t="s">
        <v>692</v>
      </c>
      <c r="R121" s="90">
        <v>2</v>
      </c>
      <c r="S121" s="91">
        <f>ROUND(G$2*G121+H$2*H121+I$2*I121+J$2*J121+K$2*K121+L$2*L121+M$2*M121+IF(N121="Y",N$2,0)+IF(O121="Y",O$2,0)+P$2*P121+R121,0)</f>
        <v>40</v>
      </c>
      <c r="T121" s="91">
        <f t="shared" si="30"/>
        <v>15</v>
      </c>
      <c r="U121" s="105">
        <v>3</v>
      </c>
      <c r="V121" s="105">
        <v>12</v>
      </c>
      <c r="W121" s="93">
        <f>V121/U121</f>
        <v>4</v>
      </c>
      <c r="X121" s="94">
        <f t="shared" si="31"/>
        <v>-2</v>
      </c>
      <c r="Y121" s="92"/>
      <c r="Z121" s="92"/>
      <c r="AA121" s="95">
        <f t="shared" si="32"/>
        <v>13</v>
      </c>
      <c r="AB121" s="90" t="s">
        <v>655</v>
      </c>
      <c r="AC121" s="104">
        <v>4</v>
      </c>
    </row>
    <row r="122" spans="1:29" ht="12.75">
      <c r="A122" s="87"/>
      <c r="B122" s="64" t="s">
        <v>956</v>
      </c>
      <c r="C122" s="88">
        <f t="shared" si="28"/>
        <v>13</v>
      </c>
      <c r="D122" s="64" t="s">
        <v>469</v>
      </c>
      <c r="E122" s="64" t="str">
        <f t="shared" si="29"/>
        <v>Capital</v>
      </c>
      <c r="F122" s="90" t="s">
        <v>653</v>
      </c>
      <c r="G122" s="89"/>
      <c r="H122" s="89"/>
      <c r="I122" s="105">
        <v>4</v>
      </c>
      <c r="J122" s="105">
        <v>2</v>
      </c>
      <c r="K122" s="105">
        <v>2</v>
      </c>
      <c r="L122" s="89"/>
      <c r="M122" s="105">
        <v>2</v>
      </c>
      <c r="N122" s="90"/>
      <c r="O122" s="90"/>
      <c r="P122" s="90">
        <v>1</v>
      </c>
      <c r="Q122" s="90"/>
      <c r="R122" s="90"/>
      <c r="S122" s="91">
        <f t="shared" si="18"/>
        <v>37</v>
      </c>
      <c r="T122" s="91">
        <f t="shared" si="30"/>
        <v>15</v>
      </c>
      <c r="U122" s="105">
        <v>3</v>
      </c>
      <c r="V122" s="105">
        <v>12</v>
      </c>
      <c r="W122" s="93">
        <f t="shared" si="19"/>
        <v>4</v>
      </c>
      <c r="X122" s="94">
        <f t="shared" si="31"/>
        <v>-2</v>
      </c>
      <c r="Y122" s="92"/>
      <c r="Z122" s="92"/>
      <c r="AA122" s="95">
        <f t="shared" si="32"/>
        <v>13</v>
      </c>
      <c r="AB122" s="105">
        <v>4</v>
      </c>
      <c r="AC122" s="104">
        <v>4</v>
      </c>
    </row>
    <row r="123" spans="1:29" ht="12.75">
      <c r="A123" s="87"/>
      <c r="B123" s="64" t="s">
        <v>694</v>
      </c>
      <c r="C123" s="88">
        <f t="shared" si="28"/>
        <v>13</v>
      </c>
      <c r="D123" s="64" t="s">
        <v>469</v>
      </c>
      <c r="E123" s="64" t="str">
        <f t="shared" si="29"/>
        <v>Capital</v>
      </c>
      <c r="F123" s="90" t="s">
        <v>653</v>
      </c>
      <c r="G123" s="89"/>
      <c r="H123" s="89"/>
      <c r="I123" s="105">
        <v>4</v>
      </c>
      <c r="J123" s="105">
        <v>2</v>
      </c>
      <c r="K123" s="105">
        <v>0</v>
      </c>
      <c r="L123" s="105">
        <v>4</v>
      </c>
      <c r="M123" s="89"/>
      <c r="N123" s="90"/>
      <c r="O123" s="90"/>
      <c r="P123" s="90">
        <v>3</v>
      </c>
      <c r="Q123" s="90"/>
      <c r="R123" s="90"/>
      <c r="S123" s="91">
        <f t="shared" si="18"/>
        <v>36</v>
      </c>
      <c r="T123" s="91">
        <f t="shared" si="30"/>
        <v>15</v>
      </c>
      <c r="U123" s="105">
        <v>3</v>
      </c>
      <c r="V123" s="105">
        <v>10</v>
      </c>
      <c r="W123" s="93">
        <f t="shared" si="19"/>
        <v>3.3333333333333335</v>
      </c>
      <c r="X123" s="94">
        <f t="shared" si="31"/>
        <v>-2</v>
      </c>
      <c r="Y123" s="92"/>
      <c r="Z123" s="92"/>
      <c r="AA123" s="95">
        <f t="shared" si="32"/>
        <v>13</v>
      </c>
      <c r="AB123" s="105">
        <v>4</v>
      </c>
      <c r="AC123" s="104">
        <v>4</v>
      </c>
    </row>
    <row r="124" spans="1:29" ht="12.75">
      <c r="A124" s="87"/>
      <c r="B124" s="64" t="s">
        <v>695</v>
      </c>
      <c r="C124" s="88">
        <f t="shared" si="28"/>
        <v>6</v>
      </c>
      <c r="D124" s="64" t="s">
        <v>12</v>
      </c>
      <c r="E124" s="64" t="str">
        <f t="shared" si="29"/>
        <v>HCV</v>
      </c>
      <c r="F124" s="90" t="s">
        <v>625</v>
      </c>
      <c r="G124" s="89"/>
      <c r="H124" s="89"/>
      <c r="I124" s="105">
        <v>3</v>
      </c>
      <c r="J124" s="105">
        <v>2</v>
      </c>
      <c r="K124" s="105">
        <v>0</v>
      </c>
      <c r="L124" s="105">
        <v>1</v>
      </c>
      <c r="M124" s="105"/>
      <c r="N124" s="90"/>
      <c r="O124" s="90"/>
      <c r="P124" s="90"/>
      <c r="Q124" s="90"/>
      <c r="R124" s="90"/>
      <c r="S124" s="91">
        <f t="shared" si="18"/>
        <v>16</v>
      </c>
      <c r="T124" s="91">
        <f t="shared" si="30"/>
        <v>10</v>
      </c>
      <c r="U124" s="105">
        <v>2</v>
      </c>
      <c r="V124" s="105">
        <v>14</v>
      </c>
      <c r="W124" s="93">
        <f t="shared" si="19"/>
        <v>7</v>
      </c>
      <c r="X124" s="94">
        <f t="shared" si="31"/>
        <v>-4</v>
      </c>
      <c r="Y124" s="92"/>
      <c r="Z124" s="92"/>
      <c r="AA124" s="95">
        <f t="shared" si="32"/>
        <v>6</v>
      </c>
      <c r="AB124" s="105">
        <v>4</v>
      </c>
      <c r="AC124" s="104">
        <v>2</v>
      </c>
    </row>
    <row r="125" spans="1:29" ht="12.75">
      <c r="A125" s="87"/>
      <c r="B125" s="64" t="s">
        <v>958</v>
      </c>
      <c r="C125" s="88">
        <f>AA125</f>
        <v>5</v>
      </c>
      <c r="D125" s="64" t="s">
        <v>12</v>
      </c>
      <c r="E125" s="64" t="str">
        <f>VLOOKUP(S125,size,3)</f>
        <v>HCV</v>
      </c>
      <c r="F125" s="90" t="s">
        <v>625</v>
      </c>
      <c r="G125" s="89"/>
      <c r="H125" s="89"/>
      <c r="I125" s="105">
        <v>1</v>
      </c>
      <c r="J125" s="105">
        <v>3</v>
      </c>
      <c r="K125" s="105">
        <v>0</v>
      </c>
      <c r="L125" s="105">
        <v>4</v>
      </c>
      <c r="M125" s="105"/>
      <c r="N125" s="90"/>
      <c r="O125" s="90"/>
      <c r="P125" s="90"/>
      <c r="Q125" s="90"/>
      <c r="R125" s="90"/>
      <c r="S125" s="91">
        <f>ROUND(G$2*G125+H$2*H125+I$2*I125+J$2*J125+K$2*K125+L$2*L125+M$2*M125+IF(N125="Y",N$2,0)+IF(O125="Y",O$2,0)+P$2*P125+R125,0)</f>
        <v>11</v>
      </c>
      <c r="T125" s="91">
        <f t="shared" si="30"/>
        <v>9</v>
      </c>
      <c r="U125" s="105">
        <v>2</v>
      </c>
      <c r="V125" s="105">
        <v>14</v>
      </c>
      <c r="W125" s="93">
        <f>V125/U125</f>
        <v>7</v>
      </c>
      <c r="X125" s="94">
        <f>-ROUND(V125/U125/2,0)</f>
        <v>-4</v>
      </c>
      <c r="Y125" s="92"/>
      <c r="Z125" s="92"/>
      <c r="AA125" s="95">
        <f>ROUND(T125+X125+Y125+Z125,0)</f>
        <v>5</v>
      </c>
      <c r="AB125" s="105">
        <v>4</v>
      </c>
      <c r="AC125" s="104">
        <v>2</v>
      </c>
    </row>
    <row r="126" spans="1:29" ht="12.75">
      <c r="A126" s="87"/>
      <c r="B126" s="64" t="s">
        <v>696</v>
      </c>
      <c r="C126" s="88">
        <f t="shared" si="28"/>
        <v>10</v>
      </c>
      <c r="D126" s="64" t="s">
        <v>12</v>
      </c>
      <c r="E126" s="64" t="str">
        <f t="shared" si="29"/>
        <v>Capital</v>
      </c>
      <c r="F126" s="90" t="s">
        <v>612</v>
      </c>
      <c r="G126" s="89"/>
      <c r="H126" s="89"/>
      <c r="I126" s="105">
        <v>1</v>
      </c>
      <c r="J126" s="105">
        <v>3</v>
      </c>
      <c r="K126" s="105">
        <v>0</v>
      </c>
      <c r="L126" s="89"/>
      <c r="M126" s="105">
        <v>1</v>
      </c>
      <c r="N126" s="90"/>
      <c r="O126" s="90"/>
      <c r="P126" s="90">
        <v>3</v>
      </c>
      <c r="Q126" s="90"/>
      <c r="R126" s="90"/>
      <c r="S126" s="91">
        <f t="shared" si="18"/>
        <v>30</v>
      </c>
      <c r="T126" s="91">
        <f t="shared" si="30"/>
        <v>13</v>
      </c>
      <c r="U126" s="105">
        <v>2</v>
      </c>
      <c r="V126" s="105">
        <v>10</v>
      </c>
      <c r="W126" s="93">
        <f t="shared" si="19"/>
        <v>5</v>
      </c>
      <c r="X126" s="94">
        <f t="shared" si="31"/>
        <v>-3</v>
      </c>
      <c r="Y126" s="92"/>
      <c r="Z126" s="92"/>
      <c r="AA126" s="95">
        <f t="shared" si="32"/>
        <v>10</v>
      </c>
      <c r="AB126" s="105">
        <v>3</v>
      </c>
      <c r="AC126" s="104">
        <v>2</v>
      </c>
    </row>
    <row r="127" spans="1:29" ht="12.75">
      <c r="A127" s="87"/>
      <c r="B127" s="64" t="s">
        <v>950</v>
      </c>
      <c r="C127" s="88">
        <f>AA127</f>
        <v>15</v>
      </c>
      <c r="D127" s="64" t="s">
        <v>614</v>
      </c>
      <c r="E127" s="64" t="str">
        <f>VLOOKUP(S127,size,3)</f>
        <v>Carrier</v>
      </c>
      <c r="F127" s="90" t="s">
        <v>612</v>
      </c>
      <c r="G127" s="89"/>
      <c r="H127" s="89">
        <v>1</v>
      </c>
      <c r="I127" s="105">
        <v>9</v>
      </c>
      <c r="J127" s="105">
        <v>4</v>
      </c>
      <c r="K127" s="105">
        <v>18</v>
      </c>
      <c r="L127" s="89">
        <v>6</v>
      </c>
      <c r="M127" s="105">
        <v>0</v>
      </c>
      <c r="N127" s="90"/>
      <c r="O127" s="90"/>
      <c r="P127" s="90"/>
      <c r="Q127" s="90"/>
      <c r="R127" s="90"/>
      <c r="S127" s="91">
        <f>ROUND(G$2*G127+H$2*H127+I$2*I127+J$2*J127+K$2*K127+L$2*L127+M$2*M127+IF(N127="Y",N$2,0)+IF(O127="Y",O$2,0)+P$2*P127+R127,0)</f>
        <v>69</v>
      </c>
      <c r="T127" s="91">
        <f t="shared" si="30"/>
        <v>18</v>
      </c>
      <c r="U127" s="105">
        <v>2</v>
      </c>
      <c r="V127" s="105">
        <v>10</v>
      </c>
      <c r="W127" s="93">
        <f>V127/U127</f>
        <v>5</v>
      </c>
      <c r="X127" s="94">
        <f>-ROUND(V127/U127/2,0)</f>
        <v>-3</v>
      </c>
      <c r="Y127" s="92"/>
      <c r="Z127" s="92"/>
      <c r="AA127" s="95">
        <f>ROUND(T127+X127+Y127+Z127,0)</f>
        <v>15</v>
      </c>
      <c r="AB127" s="105">
        <v>3</v>
      </c>
      <c r="AC127" s="104">
        <v>2</v>
      </c>
    </row>
    <row r="128" spans="1:29" ht="12.75">
      <c r="A128" s="87"/>
      <c r="B128" s="12" t="s">
        <v>796</v>
      </c>
      <c r="C128" s="88">
        <f>VLOOKUP(B128,Fighters,19,FALSE)</f>
        <v>0</v>
      </c>
      <c r="D128" s="64" t="s">
        <v>55</v>
      </c>
      <c r="E128" s="64"/>
      <c r="F128" s="90"/>
      <c r="G128" s="89"/>
      <c r="H128" s="89"/>
      <c r="I128" s="105"/>
      <c r="J128" s="105"/>
      <c r="K128" s="105"/>
      <c r="L128" s="89"/>
      <c r="M128" s="105"/>
      <c r="N128" s="90"/>
      <c r="O128" s="90"/>
      <c r="P128" s="90"/>
      <c r="Q128" s="90"/>
      <c r="R128" s="90"/>
      <c r="S128" s="91"/>
      <c r="T128" s="91"/>
      <c r="U128" s="105"/>
      <c r="V128" s="105"/>
      <c r="W128" s="93"/>
      <c r="X128" s="94"/>
      <c r="Y128" s="92"/>
      <c r="Z128" s="92"/>
      <c r="AA128" s="95"/>
      <c r="AB128" s="105"/>
      <c r="AC128" s="104"/>
    </row>
    <row r="129" spans="1:29" ht="12.75">
      <c r="A129" s="78" t="s">
        <v>571</v>
      </c>
      <c r="B129" s="79"/>
      <c r="C129" s="88">
        <f t="shared" si="28"/>
        <v>0</v>
      </c>
      <c r="D129" s="79"/>
      <c r="E129" s="79"/>
      <c r="F129" s="81"/>
      <c r="G129" s="82"/>
      <c r="H129" s="82"/>
      <c r="I129" s="82"/>
      <c r="J129" s="82"/>
      <c r="K129" s="82"/>
      <c r="L129" s="82"/>
      <c r="M129" s="82"/>
      <c r="N129" s="81"/>
      <c r="O129" s="81"/>
      <c r="P129" s="81"/>
      <c r="Q129" s="81"/>
      <c r="R129" s="81"/>
      <c r="S129" s="81">
        <f t="shared" si="18"/>
        <v>0</v>
      </c>
      <c r="T129" s="81"/>
      <c r="U129" s="81"/>
      <c r="V129" s="81"/>
      <c r="W129" s="84"/>
      <c r="X129" s="85"/>
      <c r="Y129" s="83"/>
      <c r="Z129" s="83"/>
      <c r="AA129" s="85"/>
      <c r="AB129" s="81"/>
      <c r="AC129" s="86"/>
    </row>
    <row r="130" spans="1:29" ht="12.75">
      <c r="A130" s="102" t="s">
        <v>639</v>
      </c>
      <c r="B130" s="64" t="s">
        <v>572</v>
      </c>
      <c r="C130" s="88">
        <f t="shared" si="28"/>
        <v>8</v>
      </c>
      <c r="D130" s="64" t="s">
        <v>469</v>
      </c>
      <c r="E130" s="64" t="str">
        <f aca="true" t="shared" si="33" ref="E130:E139">VLOOKUP(S130,size,3)</f>
        <v>HCV</v>
      </c>
      <c r="F130" s="90" t="s">
        <v>658</v>
      </c>
      <c r="G130" s="89"/>
      <c r="H130" s="89"/>
      <c r="I130" s="105">
        <v>1</v>
      </c>
      <c r="J130" s="105">
        <v>0</v>
      </c>
      <c r="K130" s="105">
        <v>6</v>
      </c>
      <c r="L130" s="89"/>
      <c r="M130" s="105">
        <v>0</v>
      </c>
      <c r="N130" s="90" t="s">
        <v>2</v>
      </c>
      <c r="O130" s="90" t="s">
        <v>2</v>
      </c>
      <c r="P130" s="90"/>
      <c r="Q130" s="90"/>
      <c r="R130" s="90"/>
      <c r="S130" s="91">
        <f t="shared" si="18"/>
        <v>15</v>
      </c>
      <c r="T130" s="91">
        <f aca="true" t="shared" si="34" ref="T130:T140">VLOOKUP(S130,size,2)</f>
        <v>10</v>
      </c>
      <c r="U130" s="105">
        <v>2</v>
      </c>
      <c r="V130" s="105">
        <v>7</v>
      </c>
      <c r="W130" s="93">
        <f t="shared" si="19"/>
        <v>3.5</v>
      </c>
      <c r="X130" s="94">
        <f aca="true" t="shared" si="35" ref="X130:X140">-ROUND(V130/U130/2,0)</f>
        <v>-2</v>
      </c>
      <c r="Y130" s="92"/>
      <c r="Z130" s="92"/>
      <c r="AA130" s="95">
        <f>ROUND(T130+X130+Y130+Z130,0)</f>
        <v>8</v>
      </c>
      <c r="AB130" s="105">
        <v>4</v>
      </c>
      <c r="AC130" s="104">
        <v>4</v>
      </c>
    </row>
    <row r="131" spans="1:29" ht="12.75">
      <c r="A131" s="87"/>
      <c r="B131" s="64" t="s">
        <v>573</v>
      </c>
      <c r="C131" s="88">
        <f t="shared" si="28"/>
        <v>7</v>
      </c>
      <c r="D131" s="99" t="s">
        <v>12</v>
      </c>
      <c r="E131" s="64" t="str">
        <f t="shared" si="33"/>
        <v>HCV</v>
      </c>
      <c r="F131" s="90" t="s">
        <v>194</v>
      </c>
      <c r="G131" s="89"/>
      <c r="H131" s="89"/>
      <c r="I131" s="105">
        <v>1</v>
      </c>
      <c r="J131" s="105">
        <v>0</v>
      </c>
      <c r="K131" s="105">
        <v>4</v>
      </c>
      <c r="L131" s="89"/>
      <c r="M131" s="105">
        <v>0</v>
      </c>
      <c r="N131" s="90"/>
      <c r="O131" s="90"/>
      <c r="P131" s="90">
        <v>1</v>
      </c>
      <c r="Q131" s="90"/>
      <c r="R131" s="90"/>
      <c r="S131" s="91">
        <f t="shared" si="18"/>
        <v>13</v>
      </c>
      <c r="T131" s="91">
        <f t="shared" si="34"/>
        <v>9</v>
      </c>
      <c r="U131" s="105">
        <v>2</v>
      </c>
      <c r="V131" s="105">
        <v>6</v>
      </c>
      <c r="W131" s="93">
        <f t="shared" si="19"/>
        <v>3</v>
      </c>
      <c r="X131" s="94">
        <f t="shared" si="35"/>
        <v>-2</v>
      </c>
      <c r="Y131" s="92"/>
      <c r="Z131" s="92"/>
      <c r="AA131" s="95">
        <f>ROUND(T131+X131+Y131+Z131,0)</f>
        <v>7</v>
      </c>
      <c r="AB131" s="105">
        <v>3</v>
      </c>
      <c r="AC131" s="104">
        <v>3</v>
      </c>
    </row>
    <row r="132" spans="1:29" ht="12.75">
      <c r="A132" s="87"/>
      <c r="B132" s="64" t="s">
        <v>1012</v>
      </c>
      <c r="C132" s="88">
        <f t="shared" si="28"/>
        <v>11</v>
      </c>
      <c r="D132" s="64" t="s">
        <v>469</v>
      </c>
      <c r="E132" s="64" t="str">
        <f>VLOOKUP(S132,size,3)</f>
        <v>Capital</v>
      </c>
      <c r="F132" s="90"/>
      <c r="G132" s="89"/>
      <c r="H132" s="89"/>
      <c r="I132" s="105"/>
      <c r="J132" s="105">
        <v>12</v>
      </c>
      <c r="K132" s="89"/>
      <c r="L132" s="89"/>
      <c r="M132" s="89"/>
      <c r="N132" s="90"/>
      <c r="O132" s="90"/>
      <c r="P132" s="90"/>
      <c r="Q132" s="90"/>
      <c r="R132" s="90"/>
      <c r="S132" s="91">
        <f t="shared" si="18"/>
        <v>24</v>
      </c>
      <c r="T132" s="91">
        <f>VLOOKUP(S132,size,2)</f>
        <v>12</v>
      </c>
      <c r="U132" s="105">
        <v>3</v>
      </c>
      <c r="V132" s="105">
        <v>8</v>
      </c>
      <c r="W132" s="93">
        <f t="shared" si="19"/>
        <v>2.6666666666666665</v>
      </c>
      <c r="X132" s="94">
        <f>-ROUND(V132/U132/2,0)</f>
        <v>-1</v>
      </c>
      <c r="Y132" s="92"/>
      <c r="Z132" s="92"/>
      <c r="AA132" s="95">
        <f>ROUND(T132+X132+Y132+Z132,0)</f>
        <v>11</v>
      </c>
      <c r="AB132" s="105">
        <v>4</v>
      </c>
      <c r="AC132" s="104">
        <v>4</v>
      </c>
    </row>
    <row r="133" spans="1:29" ht="12.75">
      <c r="A133" s="87"/>
      <c r="B133" s="64" t="s">
        <v>577</v>
      </c>
      <c r="C133" s="88">
        <f aca="true" t="shared" si="36" ref="C133:C139">AA133</f>
        <v>11</v>
      </c>
      <c r="D133" s="64" t="s">
        <v>469</v>
      </c>
      <c r="E133" s="64" t="str">
        <f t="shared" si="33"/>
        <v>Capital</v>
      </c>
      <c r="F133" s="90" t="s">
        <v>663</v>
      </c>
      <c r="G133" s="89"/>
      <c r="H133" s="89"/>
      <c r="I133" s="105">
        <v>0</v>
      </c>
      <c r="J133" s="105">
        <v>3</v>
      </c>
      <c r="K133" s="105">
        <v>3</v>
      </c>
      <c r="L133" s="89"/>
      <c r="M133" s="105">
        <v>3</v>
      </c>
      <c r="N133" s="90"/>
      <c r="O133" s="90"/>
      <c r="P133" s="90"/>
      <c r="Q133" s="90"/>
      <c r="R133" s="90"/>
      <c r="S133" s="91">
        <f aca="true" t="shared" si="37" ref="S133:S139">ROUND(G$2*G133+H$2*H133+I$2*I133+J$2*J133+K$2*K133+L$2*L133+M$2*M133+IF(N133="Y",N$2,0)+IF(O133="Y",O$2,0)+P$2*P133+R133,0)</f>
        <v>24</v>
      </c>
      <c r="T133" s="91">
        <f t="shared" si="34"/>
        <v>12</v>
      </c>
      <c r="U133" s="105">
        <v>5</v>
      </c>
      <c r="V133" s="105">
        <v>10</v>
      </c>
      <c r="W133" s="93">
        <f aca="true" t="shared" si="38" ref="W133:W139">V133/U133</f>
        <v>2</v>
      </c>
      <c r="X133" s="94">
        <f t="shared" si="35"/>
        <v>-1</v>
      </c>
      <c r="Y133" s="92"/>
      <c r="Z133" s="92"/>
      <c r="AA133" s="95">
        <f>ROUND(T133+X133+Y133+Z133,0)</f>
        <v>11</v>
      </c>
      <c r="AB133" s="105">
        <v>4</v>
      </c>
      <c r="AC133" s="104">
        <v>4</v>
      </c>
    </row>
    <row r="134" spans="1:29" ht="12.75">
      <c r="A134" s="100"/>
      <c r="B134" s="64" t="s">
        <v>574</v>
      </c>
      <c r="C134" s="88">
        <f t="shared" si="36"/>
        <v>11</v>
      </c>
      <c r="D134" s="64" t="s">
        <v>469</v>
      </c>
      <c r="E134" s="64" t="str">
        <f t="shared" si="33"/>
        <v>Capital</v>
      </c>
      <c r="F134" s="90" t="s">
        <v>117</v>
      </c>
      <c r="G134" s="89"/>
      <c r="H134" s="105">
        <v>2</v>
      </c>
      <c r="I134" s="105">
        <v>0</v>
      </c>
      <c r="J134" s="105">
        <v>6</v>
      </c>
      <c r="K134" s="105"/>
      <c r="L134" s="89"/>
      <c r="M134" s="105">
        <v>0</v>
      </c>
      <c r="N134" s="90" t="s">
        <v>2</v>
      </c>
      <c r="O134" s="90"/>
      <c r="P134" s="90"/>
      <c r="Q134" s="90"/>
      <c r="R134" s="90"/>
      <c r="S134" s="91">
        <f t="shared" si="37"/>
        <v>29</v>
      </c>
      <c r="T134" s="91">
        <f t="shared" si="34"/>
        <v>13</v>
      </c>
      <c r="U134" s="105">
        <v>3</v>
      </c>
      <c r="V134" s="105">
        <v>9</v>
      </c>
      <c r="W134" s="93">
        <f t="shared" si="38"/>
        <v>3</v>
      </c>
      <c r="X134" s="94">
        <f t="shared" si="35"/>
        <v>-2</v>
      </c>
      <c r="Y134" s="92"/>
      <c r="Z134" s="92"/>
      <c r="AA134" s="95">
        <f>ROUND(T134+X134+Y134+Z134,1)</f>
        <v>11</v>
      </c>
      <c r="AB134" s="105">
        <v>5</v>
      </c>
      <c r="AC134" s="104">
        <v>5</v>
      </c>
    </row>
    <row r="135" spans="1:29" ht="12.75">
      <c r="A135" s="100"/>
      <c r="B135" s="64" t="s">
        <v>800</v>
      </c>
      <c r="C135" s="88">
        <f>AA135</f>
        <v>10</v>
      </c>
      <c r="D135" s="64" t="s">
        <v>469</v>
      </c>
      <c r="E135" s="64" t="str">
        <f>VLOOKUP(S135,size,3)</f>
        <v>Capital</v>
      </c>
      <c r="F135" s="90" t="s">
        <v>117</v>
      </c>
      <c r="G135" s="89"/>
      <c r="H135" s="105"/>
      <c r="I135" s="105">
        <v>1</v>
      </c>
      <c r="J135" s="105">
        <v>0</v>
      </c>
      <c r="K135" s="105">
        <v>14</v>
      </c>
      <c r="L135" s="89"/>
      <c r="M135" s="105">
        <v>1</v>
      </c>
      <c r="N135" s="90"/>
      <c r="O135" s="90"/>
      <c r="P135" s="90"/>
      <c r="Q135" s="90"/>
      <c r="R135" s="90"/>
      <c r="S135" s="91">
        <f>ROUND(G$2*G135+H$2*H135+I$2*I135+J$2*J135+K$2*K135+L$2*L135+M$2*M135+IF(N135="Y",N$2,0)+IF(O135="Y",O$2,0)+P$2*P135+R135,0)</f>
        <v>23</v>
      </c>
      <c r="T135" s="91">
        <f t="shared" si="34"/>
        <v>12</v>
      </c>
      <c r="U135" s="105">
        <v>3</v>
      </c>
      <c r="V135" s="105">
        <v>9</v>
      </c>
      <c r="W135" s="93">
        <f>V135/U135</f>
        <v>3</v>
      </c>
      <c r="X135" s="94">
        <f>-ROUND(V135/U135/2,0)</f>
        <v>-2</v>
      </c>
      <c r="Y135" s="92"/>
      <c r="Z135" s="92"/>
      <c r="AA135" s="95">
        <f>ROUND(T135+X135+Y135+Z135,1)</f>
        <v>10</v>
      </c>
      <c r="AB135" s="105">
        <v>5</v>
      </c>
      <c r="AC135" s="104">
        <v>5</v>
      </c>
    </row>
    <row r="136" spans="1:29" ht="12.75">
      <c r="A136" s="87"/>
      <c r="B136" s="64" t="s">
        <v>575</v>
      </c>
      <c r="C136" s="88">
        <f t="shared" si="36"/>
        <v>15</v>
      </c>
      <c r="D136" s="64" t="s">
        <v>469</v>
      </c>
      <c r="E136" s="64" t="str">
        <f t="shared" si="33"/>
        <v>Carrier</v>
      </c>
      <c r="F136" s="90">
        <v>16</v>
      </c>
      <c r="G136" s="89"/>
      <c r="H136" s="89">
        <v>2</v>
      </c>
      <c r="I136" s="105">
        <v>2</v>
      </c>
      <c r="J136" s="105">
        <v>12</v>
      </c>
      <c r="K136" s="105"/>
      <c r="L136" s="89"/>
      <c r="M136" s="105">
        <v>0</v>
      </c>
      <c r="N136" s="90" t="s">
        <v>2</v>
      </c>
      <c r="O136" s="90"/>
      <c r="P136" s="90"/>
      <c r="Q136" s="90"/>
      <c r="R136" s="90"/>
      <c r="S136" s="91">
        <f t="shared" si="37"/>
        <v>49</v>
      </c>
      <c r="T136" s="91">
        <f t="shared" si="34"/>
        <v>16</v>
      </c>
      <c r="U136" s="105">
        <v>3</v>
      </c>
      <c r="V136" s="105">
        <v>7</v>
      </c>
      <c r="W136" s="93">
        <f t="shared" si="38"/>
        <v>2.3333333333333335</v>
      </c>
      <c r="X136" s="94">
        <f t="shared" si="35"/>
        <v>-1</v>
      </c>
      <c r="Y136" s="92"/>
      <c r="Z136" s="92"/>
      <c r="AA136" s="95">
        <f>ROUND(T136+X136+Y136+Z136,0)</f>
        <v>15</v>
      </c>
      <c r="AB136" s="105">
        <v>4</v>
      </c>
      <c r="AC136" s="104">
        <v>4</v>
      </c>
    </row>
    <row r="137" spans="1:29" ht="12.75">
      <c r="A137" s="87"/>
      <c r="B137" s="64" t="s">
        <v>576</v>
      </c>
      <c r="C137" s="88">
        <f t="shared" si="36"/>
        <v>11</v>
      </c>
      <c r="D137" s="64" t="s">
        <v>469</v>
      </c>
      <c r="E137" s="64" t="str">
        <f t="shared" si="33"/>
        <v>Capital</v>
      </c>
      <c r="F137" s="90" t="s">
        <v>663</v>
      </c>
      <c r="G137" s="89"/>
      <c r="H137" s="89"/>
      <c r="I137" s="105">
        <v>3</v>
      </c>
      <c r="J137" s="105">
        <v>6</v>
      </c>
      <c r="K137" s="105"/>
      <c r="L137" s="89"/>
      <c r="M137" s="105">
        <v>0</v>
      </c>
      <c r="N137" s="90"/>
      <c r="O137" s="90"/>
      <c r="P137" s="90"/>
      <c r="Q137" s="90"/>
      <c r="R137" s="90"/>
      <c r="S137" s="91">
        <f t="shared" si="37"/>
        <v>24</v>
      </c>
      <c r="T137" s="91">
        <f t="shared" si="34"/>
        <v>12</v>
      </c>
      <c r="U137" s="105">
        <v>3</v>
      </c>
      <c r="V137" s="105">
        <v>8</v>
      </c>
      <c r="W137" s="93">
        <f t="shared" si="38"/>
        <v>2.6666666666666665</v>
      </c>
      <c r="X137" s="94">
        <f t="shared" si="35"/>
        <v>-1</v>
      </c>
      <c r="Y137" s="92"/>
      <c r="Z137" s="92"/>
      <c r="AA137" s="95">
        <f>ROUND(T137+X137+Y137+Z137,0)</f>
        <v>11</v>
      </c>
      <c r="AB137" s="105">
        <v>4</v>
      </c>
      <c r="AC137" s="104">
        <v>4</v>
      </c>
    </row>
    <row r="138" spans="1:29" ht="12.75">
      <c r="A138" s="87"/>
      <c r="B138" s="64" t="s">
        <v>578</v>
      </c>
      <c r="C138" s="88">
        <f t="shared" si="36"/>
        <v>11</v>
      </c>
      <c r="D138" s="64" t="s">
        <v>469</v>
      </c>
      <c r="E138" s="64" t="str">
        <f>VLOOKUP(S138,size,3)</f>
        <v>Capital</v>
      </c>
      <c r="F138" s="90"/>
      <c r="G138" s="89"/>
      <c r="H138" s="89"/>
      <c r="I138" s="105">
        <v>3</v>
      </c>
      <c r="J138" s="105">
        <v>6</v>
      </c>
      <c r="K138" s="89"/>
      <c r="L138" s="89"/>
      <c r="M138" s="89"/>
      <c r="N138" s="90"/>
      <c r="O138" s="90"/>
      <c r="P138" s="90"/>
      <c r="Q138" s="90"/>
      <c r="R138" s="90"/>
      <c r="S138" s="91">
        <f t="shared" si="37"/>
        <v>24</v>
      </c>
      <c r="T138" s="91">
        <f>VLOOKUP(S138,size,2)</f>
        <v>12</v>
      </c>
      <c r="U138" s="105">
        <v>3</v>
      </c>
      <c r="V138" s="105">
        <v>8</v>
      </c>
      <c r="W138" s="93">
        <f t="shared" si="38"/>
        <v>2.6666666666666665</v>
      </c>
      <c r="X138" s="94">
        <f t="shared" si="35"/>
        <v>-1</v>
      </c>
      <c r="Y138" s="92"/>
      <c r="Z138" s="92"/>
      <c r="AA138" s="95">
        <f>ROUND(T138+X138+Y138+Z138,0)</f>
        <v>11</v>
      </c>
      <c r="AB138" s="105">
        <v>4</v>
      </c>
      <c r="AC138" s="104">
        <v>4</v>
      </c>
    </row>
    <row r="139" spans="1:29" ht="12.75">
      <c r="A139" s="87"/>
      <c r="B139" s="64" t="s">
        <v>1011</v>
      </c>
      <c r="C139" s="88">
        <f t="shared" si="36"/>
        <v>4</v>
      </c>
      <c r="D139" s="64" t="s">
        <v>12</v>
      </c>
      <c r="E139" s="64" t="str">
        <f t="shared" si="33"/>
        <v>LCV</v>
      </c>
      <c r="F139" s="90"/>
      <c r="G139" s="89"/>
      <c r="H139" s="89"/>
      <c r="I139" s="105"/>
      <c r="J139" s="105"/>
      <c r="K139" s="105">
        <v>4</v>
      </c>
      <c r="L139" s="89"/>
      <c r="M139" s="105"/>
      <c r="N139" s="90"/>
      <c r="O139" s="90"/>
      <c r="P139" s="90"/>
      <c r="Q139" s="90"/>
      <c r="R139" s="90"/>
      <c r="S139" s="91">
        <f t="shared" si="37"/>
        <v>4</v>
      </c>
      <c r="T139" s="91">
        <f t="shared" si="34"/>
        <v>6</v>
      </c>
      <c r="U139" s="105">
        <v>2</v>
      </c>
      <c r="V139" s="105">
        <v>6</v>
      </c>
      <c r="W139" s="93">
        <f t="shared" si="38"/>
        <v>3</v>
      </c>
      <c r="X139" s="94">
        <f t="shared" si="35"/>
        <v>-2</v>
      </c>
      <c r="Y139" s="92"/>
      <c r="Z139" s="92"/>
      <c r="AA139" s="95">
        <f>ROUND(T139+X139+Y139+Z139,0)</f>
        <v>4</v>
      </c>
      <c r="AB139" s="105">
        <v>3</v>
      </c>
      <c r="AC139" s="104">
        <v>1</v>
      </c>
    </row>
    <row r="140" spans="1:29" ht="12.75">
      <c r="A140" s="87"/>
      <c r="B140" s="64" t="s">
        <v>61</v>
      </c>
      <c r="C140" s="88">
        <f>VLOOKUP(B140,Fighters,19,FALSE)</f>
        <v>0</v>
      </c>
      <c r="D140" s="64" t="s">
        <v>55</v>
      </c>
      <c r="E140" s="64"/>
      <c r="F140" s="90"/>
      <c r="G140" s="89"/>
      <c r="H140" s="89"/>
      <c r="I140" s="89"/>
      <c r="J140" s="89"/>
      <c r="K140" s="89"/>
      <c r="L140" s="89"/>
      <c r="M140" s="89"/>
      <c r="N140" s="90"/>
      <c r="O140" s="90"/>
      <c r="P140" s="90"/>
      <c r="Q140" s="90"/>
      <c r="R140" s="90"/>
      <c r="S140" s="91"/>
      <c r="T140" s="91">
        <f t="shared" si="34"/>
        <v>2</v>
      </c>
      <c r="U140" s="90"/>
      <c r="V140" s="90"/>
      <c r="W140" s="93" t="e">
        <f t="shared" si="19"/>
        <v>#DIV/0!</v>
      </c>
      <c r="X140" s="94" t="e">
        <f t="shared" si="35"/>
        <v>#DIV/0!</v>
      </c>
      <c r="Y140" s="92"/>
      <c r="Z140" s="92"/>
      <c r="AA140" s="95" t="e">
        <f>ROUND(T140+X140+Y140+Z140,0)</f>
        <v>#DIV/0!</v>
      </c>
      <c r="AB140" s="90"/>
      <c r="AC140" s="96"/>
    </row>
    <row r="141" spans="1:29" ht="12.75">
      <c r="A141" s="87"/>
      <c r="B141" s="64" t="s">
        <v>57</v>
      </c>
      <c r="C141" s="88">
        <f>VLOOKUP(B141,Fighters,19,FALSE)</f>
        <v>0</v>
      </c>
      <c r="D141" s="64" t="s">
        <v>55</v>
      </c>
      <c r="E141" s="64"/>
      <c r="F141" s="90"/>
      <c r="G141" s="89"/>
      <c r="H141" s="89"/>
      <c r="I141" s="89"/>
      <c r="J141" s="89"/>
      <c r="K141" s="89"/>
      <c r="L141" s="89"/>
      <c r="M141" s="89"/>
      <c r="N141" s="90"/>
      <c r="O141" s="90"/>
      <c r="P141" s="90"/>
      <c r="Q141" s="90"/>
      <c r="R141" s="90"/>
      <c r="S141" s="91"/>
      <c r="T141" s="91"/>
      <c r="U141" s="90"/>
      <c r="V141" s="90"/>
      <c r="W141" s="93"/>
      <c r="X141" s="94"/>
      <c r="Y141" s="92"/>
      <c r="Z141" s="92"/>
      <c r="AA141" s="95"/>
      <c r="AB141" s="90"/>
      <c r="AC141" s="96"/>
    </row>
    <row r="142" spans="1:29" ht="12.75">
      <c r="A142" s="78" t="s">
        <v>579</v>
      </c>
      <c r="B142" s="79"/>
      <c r="C142" s="88">
        <f t="shared" si="28"/>
        <v>0</v>
      </c>
      <c r="D142" s="79"/>
      <c r="E142" s="79"/>
      <c r="F142" s="81"/>
      <c r="G142" s="82"/>
      <c r="H142" s="82"/>
      <c r="I142" s="82"/>
      <c r="J142" s="82"/>
      <c r="K142" s="82"/>
      <c r="L142" s="82"/>
      <c r="M142" s="82"/>
      <c r="N142" s="81"/>
      <c r="O142" s="81"/>
      <c r="P142" s="81"/>
      <c r="Q142" s="81"/>
      <c r="R142" s="81"/>
      <c r="S142" s="81">
        <f t="shared" si="18"/>
        <v>0</v>
      </c>
      <c r="T142" s="81"/>
      <c r="U142" s="81"/>
      <c r="V142" s="81"/>
      <c r="W142" s="84"/>
      <c r="X142" s="85"/>
      <c r="Y142" s="83"/>
      <c r="Z142" s="83"/>
      <c r="AA142" s="85"/>
      <c r="AB142" s="81"/>
      <c r="AC142" s="86"/>
    </row>
    <row r="143" spans="1:29" ht="12.75">
      <c r="A143" s="102" t="s">
        <v>52</v>
      </c>
      <c r="B143" s="64" t="s">
        <v>581</v>
      </c>
      <c r="C143" s="88">
        <f t="shared" si="28"/>
        <v>0</v>
      </c>
      <c r="D143" s="64" t="s">
        <v>12</v>
      </c>
      <c r="E143" s="64" t="str">
        <f>VLOOKUP(S143,size,3)</f>
        <v>Medium</v>
      </c>
      <c r="F143" s="90" t="s">
        <v>658</v>
      </c>
      <c r="G143" s="89"/>
      <c r="H143" s="89"/>
      <c r="I143" s="105">
        <v>2</v>
      </c>
      <c r="J143" s="105">
        <v>2</v>
      </c>
      <c r="K143" s="89"/>
      <c r="L143" s="89"/>
      <c r="M143" s="89"/>
      <c r="N143" s="90"/>
      <c r="O143" s="90"/>
      <c r="P143" s="100"/>
      <c r="Q143" s="90" t="s">
        <v>697</v>
      </c>
      <c r="R143" s="90"/>
      <c r="S143" s="91">
        <f>ROUND((G$2*G143+H$2*H143+I$2*I143+J$2*J143+K$2*K143+L$2*L143+M$2*M143+IF(N143="Y",N$2,0)+IF(O143="Y",O$2,0)+P$2*P143+R143)/2,0)</f>
        <v>6</v>
      </c>
      <c r="T143" s="91">
        <f>VLOOKUP(S143,size,2)</f>
        <v>7</v>
      </c>
      <c r="U143" s="105">
        <v>1.5</v>
      </c>
      <c r="V143" s="105">
        <v>12</v>
      </c>
      <c r="W143" s="93">
        <f t="shared" si="19"/>
        <v>8</v>
      </c>
      <c r="X143" s="94">
        <f>-ROUND(V143/U143/2,0)</f>
        <v>-4</v>
      </c>
      <c r="Y143" s="92">
        <v>-2</v>
      </c>
      <c r="Z143" s="92">
        <v>-1</v>
      </c>
      <c r="AA143" s="95">
        <f>ROUND(T143+X143+Y143+Z143,0)</f>
        <v>0</v>
      </c>
      <c r="AB143" s="105">
        <v>5</v>
      </c>
      <c r="AC143" s="104">
        <v>5</v>
      </c>
    </row>
    <row r="144" spans="1:29" ht="12.75">
      <c r="A144" s="102" t="s">
        <v>52</v>
      </c>
      <c r="B144" s="64" t="s">
        <v>582</v>
      </c>
      <c r="C144" s="88">
        <f>AA144</f>
        <v>-1</v>
      </c>
      <c r="D144" s="64" t="s">
        <v>12</v>
      </c>
      <c r="E144" s="64" t="str">
        <f>VLOOKUP(S144,size,3)</f>
        <v>LCV</v>
      </c>
      <c r="F144" s="90" t="s">
        <v>658</v>
      </c>
      <c r="G144" s="89"/>
      <c r="H144" s="89"/>
      <c r="I144" s="105">
        <v>2</v>
      </c>
      <c r="J144" s="105"/>
      <c r="K144" s="89"/>
      <c r="L144" s="89"/>
      <c r="M144" s="89"/>
      <c r="N144" s="90"/>
      <c r="O144" s="90"/>
      <c r="P144" s="100"/>
      <c r="Q144" s="90" t="s">
        <v>697</v>
      </c>
      <c r="R144" s="90"/>
      <c r="S144" s="91">
        <f>ROUND((G$2*G144+H$2*H144+I$2*I144+J$2*J144+K$2*K144+L$2*L144+M$2*M144+IF(N144="Y",N$2,0)+IF(O144="Y",O$2,0)+P$2*P144+R144)/2,0)</f>
        <v>4</v>
      </c>
      <c r="T144" s="91">
        <f>VLOOKUP(S144,size,2)</f>
        <v>6</v>
      </c>
      <c r="U144" s="105">
        <v>1.5</v>
      </c>
      <c r="V144" s="105">
        <v>12</v>
      </c>
      <c r="W144" s="93">
        <f>V144/U144</f>
        <v>8</v>
      </c>
      <c r="X144" s="94">
        <f>-ROUND(V144/U144/2,0)</f>
        <v>-4</v>
      </c>
      <c r="Y144" s="92">
        <v>-2</v>
      </c>
      <c r="Z144" s="92">
        <v>-1</v>
      </c>
      <c r="AA144" s="95">
        <f>ROUND(T144+X144+Y144+Z144,0)</f>
        <v>-1</v>
      </c>
      <c r="AB144" s="105">
        <v>5</v>
      </c>
      <c r="AC144" s="104">
        <v>5</v>
      </c>
    </row>
    <row r="145" spans="1:29" ht="12.75">
      <c r="A145" s="102" t="s">
        <v>698</v>
      </c>
      <c r="B145" s="64" t="s">
        <v>580</v>
      </c>
      <c r="C145" s="88">
        <f t="shared" si="28"/>
        <v>3</v>
      </c>
      <c r="D145" s="64" t="s">
        <v>12</v>
      </c>
      <c r="E145" s="64" t="str">
        <f>VLOOKUP(S145,size,3)</f>
        <v>Medium</v>
      </c>
      <c r="F145" s="90" t="s">
        <v>657</v>
      </c>
      <c r="G145" s="89">
        <v>1</v>
      </c>
      <c r="H145" s="89"/>
      <c r="I145" s="105">
        <v>0</v>
      </c>
      <c r="J145" s="105">
        <v>0</v>
      </c>
      <c r="K145" s="105">
        <v>1</v>
      </c>
      <c r="L145" s="89"/>
      <c r="M145" s="105">
        <v>1</v>
      </c>
      <c r="N145" s="90" t="s">
        <v>2</v>
      </c>
      <c r="O145" s="90"/>
      <c r="P145" s="100"/>
      <c r="Q145" s="90" t="s">
        <v>697</v>
      </c>
      <c r="R145" s="90"/>
      <c r="S145" s="91">
        <f>ROUND((G$2*G145+H$2*H145+I$2*I145+J$2*J145+K$2*K145+L$2*L145+M$2*M145+IF(N145="Y",N$2,0)+IF(O145="Y",O$2,0)+P$2*P145+R145)/2,0)</f>
        <v>10</v>
      </c>
      <c r="T145" s="91">
        <f>VLOOKUP(S145,size,2)</f>
        <v>8</v>
      </c>
      <c r="U145" s="105">
        <v>3</v>
      </c>
      <c r="V145" s="105">
        <v>18</v>
      </c>
      <c r="W145" s="93">
        <f t="shared" si="19"/>
        <v>6</v>
      </c>
      <c r="X145" s="94">
        <f>-ROUND(V145/U145/2,0)</f>
        <v>-3</v>
      </c>
      <c r="Y145" s="106">
        <v>-2</v>
      </c>
      <c r="Z145" s="106"/>
      <c r="AA145" s="95">
        <f>ROUND(T145+X145+Y145+Z145,0)</f>
        <v>3</v>
      </c>
      <c r="AB145" s="105">
        <v>6</v>
      </c>
      <c r="AC145" s="104">
        <v>6</v>
      </c>
    </row>
    <row r="146" spans="1:29" ht="12.75">
      <c r="A146" s="87"/>
      <c r="B146" s="64" t="s">
        <v>699</v>
      </c>
      <c r="C146" s="88">
        <f t="shared" si="28"/>
        <v>5</v>
      </c>
      <c r="D146" s="64" t="s">
        <v>12</v>
      </c>
      <c r="E146" s="64" t="str">
        <f>VLOOKUP(S146,size,3)</f>
        <v>HCV</v>
      </c>
      <c r="F146" s="90" t="s">
        <v>700</v>
      </c>
      <c r="G146" s="89">
        <v>2</v>
      </c>
      <c r="H146" s="89"/>
      <c r="I146" s="105">
        <v>0</v>
      </c>
      <c r="J146" s="105">
        <v>0</v>
      </c>
      <c r="K146" s="105">
        <v>2</v>
      </c>
      <c r="L146" s="89"/>
      <c r="M146" s="105">
        <v>2</v>
      </c>
      <c r="N146" s="90" t="s">
        <v>2</v>
      </c>
      <c r="O146" s="90"/>
      <c r="P146" s="100"/>
      <c r="Q146" s="90" t="s">
        <v>697</v>
      </c>
      <c r="R146" s="90"/>
      <c r="S146" s="91">
        <f>ROUND((G$2*G146+H$2*H146+I$2*I146+J$2*J146+K$2*K146+L$2*L146+M$2*M146+IF(N146="Y",N$2,0)+IF(O146="Y",O$2,0)+P$2*P146+R146)/2,0)</f>
        <v>17</v>
      </c>
      <c r="T146" s="91">
        <f>VLOOKUP(S146,size,2)</f>
        <v>10</v>
      </c>
      <c r="U146" s="105">
        <v>4</v>
      </c>
      <c r="V146" s="105">
        <v>24</v>
      </c>
      <c r="W146" s="93">
        <f t="shared" si="19"/>
        <v>6</v>
      </c>
      <c r="X146" s="94">
        <f>-ROUND(V146/U146/2,0)</f>
        <v>-3</v>
      </c>
      <c r="Y146" s="106">
        <v>-2</v>
      </c>
      <c r="Z146" s="106"/>
      <c r="AA146" s="95">
        <f>ROUND(T146+X146+Y146+Z146,0)</f>
        <v>5</v>
      </c>
      <c r="AB146" s="105">
        <v>6</v>
      </c>
      <c r="AC146" s="104">
        <v>6</v>
      </c>
    </row>
    <row r="147" spans="1:29" ht="12.75">
      <c r="A147" s="87"/>
      <c r="B147" s="64" t="s">
        <v>984</v>
      </c>
      <c r="C147" s="88" t="e">
        <f>VLOOKUP(B147,Fighters,19,FALSE)</f>
        <v>#N/A</v>
      </c>
      <c r="D147" s="64" t="s">
        <v>55</v>
      </c>
      <c r="E147" s="64"/>
      <c r="F147" s="90"/>
      <c r="G147" s="89"/>
      <c r="H147" s="89"/>
      <c r="I147" s="89"/>
      <c r="J147" s="89"/>
      <c r="K147" s="89"/>
      <c r="L147" s="89"/>
      <c r="M147" s="89"/>
      <c r="N147" s="90"/>
      <c r="O147" s="90"/>
      <c r="P147" s="90"/>
      <c r="Q147" s="90"/>
      <c r="R147" s="90"/>
      <c r="S147" s="91"/>
      <c r="T147" s="91"/>
      <c r="U147" s="90"/>
      <c r="V147" s="90"/>
      <c r="W147" s="93" t="e">
        <f t="shared" si="19"/>
        <v>#DIV/0!</v>
      </c>
      <c r="X147" s="94" t="e">
        <f>-ROUND(V147/U147/2,0)</f>
        <v>#DIV/0!</v>
      </c>
      <c r="Y147" s="92"/>
      <c r="Z147" s="92"/>
      <c r="AA147" s="95" t="e">
        <f>ROUND(T147+X147+Y147+Z147,0)</f>
        <v>#DIV/0!</v>
      </c>
      <c r="AB147" s="90"/>
      <c r="AC147" s="96"/>
    </row>
    <row r="148" spans="1:29" ht="12.75">
      <c r="A148" s="78" t="s">
        <v>701</v>
      </c>
      <c r="B148" s="79"/>
      <c r="C148" s="88">
        <f t="shared" si="28"/>
        <v>0</v>
      </c>
      <c r="D148" s="79"/>
      <c r="E148" s="79"/>
      <c r="F148" s="81"/>
      <c r="G148" s="82"/>
      <c r="H148" s="82"/>
      <c r="I148" s="109"/>
      <c r="J148" s="109"/>
      <c r="K148" s="109"/>
      <c r="L148" s="82"/>
      <c r="M148" s="109"/>
      <c r="N148" s="81"/>
      <c r="O148" s="81"/>
      <c r="P148" s="81"/>
      <c r="Q148" s="81"/>
      <c r="R148" s="81"/>
      <c r="S148" s="81"/>
      <c r="T148" s="81"/>
      <c r="U148" s="81"/>
      <c r="V148" s="81"/>
      <c r="W148" s="84"/>
      <c r="X148" s="85"/>
      <c r="Y148" s="83"/>
      <c r="Z148" s="83"/>
      <c r="AA148" s="85"/>
      <c r="AB148" s="81"/>
      <c r="AC148" s="86"/>
    </row>
    <row r="149" spans="1:29" ht="12.75">
      <c r="A149" s="102" t="s">
        <v>52</v>
      </c>
      <c r="B149" s="64" t="s">
        <v>702</v>
      </c>
      <c r="C149" s="88">
        <f t="shared" si="28"/>
        <v>1</v>
      </c>
      <c r="D149" s="64" t="s">
        <v>611</v>
      </c>
      <c r="E149" s="64" t="str">
        <f aca="true" t="shared" si="39" ref="E149:E155">VLOOKUP(S149,size,3)</f>
        <v>Medium</v>
      </c>
      <c r="F149" s="90" t="s">
        <v>615</v>
      </c>
      <c r="G149" s="89"/>
      <c r="H149" s="105">
        <v>0</v>
      </c>
      <c r="I149" s="105">
        <v>2</v>
      </c>
      <c r="J149" s="105">
        <v>0</v>
      </c>
      <c r="K149" s="105">
        <v>0</v>
      </c>
      <c r="L149" s="89"/>
      <c r="M149" s="105">
        <v>0</v>
      </c>
      <c r="N149" s="90" t="s">
        <v>2</v>
      </c>
      <c r="O149" s="90"/>
      <c r="P149" s="90"/>
      <c r="Q149" s="90"/>
      <c r="R149" s="90"/>
      <c r="S149" s="91">
        <f>ROUND((G$2*G149+H$2*H149+I$2*I149+J$2*J149+K$2*K149+L$2*L149+M$2*M149+IF(N149="Y",N$2,0)+IF(O149="Y",O$2,0)+P$2*P149+R149)/2,0)</f>
        <v>7</v>
      </c>
      <c r="T149" s="91">
        <f aca="true" t="shared" si="40" ref="T149:T155">VLOOKUP(S149,size,2)</f>
        <v>7</v>
      </c>
      <c r="U149" s="105">
        <v>3</v>
      </c>
      <c r="V149" s="105">
        <v>12</v>
      </c>
      <c r="W149" s="93">
        <f t="shared" si="19"/>
        <v>4</v>
      </c>
      <c r="X149" s="94">
        <f aca="true" t="shared" si="41" ref="X149:X155">-ROUND(V149/U149/2,0)</f>
        <v>-2</v>
      </c>
      <c r="Y149" s="106">
        <v>-4</v>
      </c>
      <c r="Z149" s="106"/>
      <c r="AA149" s="95">
        <f aca="true" t="shared" si="42" ref="AA149:AA155">ROUND(T149+X149+Y149+Z149,0)</f>
        <v>1</v>
      </c>
      <c r="AB149" s="105">
        <v>5</v>
      </c>
      <c r="AC149" s="104">
        <v>5</v>
      </c>
    </row>
    <row r="150" spans="1:29" ht="12.75">
      <c r="A150" s="102" t="s">
        <v>698</v>
      </c>
      <c r="B150" s="64" t="s">
        <v>703</v>
      </c>
      <c r="C150" s="88">
        <f t="shared" si="28"/>
        <v>3</v>
      </c>
      <c r="D150" s="64" t="s">
        <v>611</v>
      </c>
      <c r="E150" s="64" t="str">
        <f t="shared" si="39"/>
        <v>HCV</v>
      </c>
      <c r="F150" s="90" t="s">
        <v>615</v>
      </c>
      <c r="G150" s="89">
        <v>1</v>
      </c>
      <c r="H150" s="89"/>
      <c r="I150" s="105">
        <v>1</v>
      </c>
      <c r="J150" s="105">
        <v>0</v>
      </c>
      <c r="K150" s="105">
        <v>0</v>
      </c>
      <c r="L150" s="89"/>
      <c r="M150" s="105">
        <v>1</v>
      </c>
      <c r="N150" s="90" t="s">
        <v>2</v>
      </c>
      <c r="O150" s="90"/>
      <c r="P150" s="90"/>
      <c r="Q150" s="90"/>
      <c r="R150" s="90"/>
      <c r="S150" s="91">
        <f aca="true" t="shared" si="43" ref="S150:S155">ROUND((G$2*G150+H$2*H150+I$2*I150+J$2*J150+K$2*K150+L$2*L150+M$2*M150+IF(N150="Y",N$2,0)+IF(O150="Y",O$2,0)+P$2*P150+R150)/2,0)</f>
        <v>11</v>
      </c>
      <c r="T150" s="91">
        <f t="shared" si="40"/>
        <v>9</v>
      </c>
      <c r="U150" s="105">
        <v>3</v>
      </c>
      <c r="V150" s="105">
        <v>12</v>
      </c>
      <c r="W150" s="93">
        <f t="shared" si="19"/>
        <v>4</v>
      </c>
      <c r="X150" s="94">
        <f t="shared" si="41"/>
        <v>-2</v>
      </c>
      <c r="Y150" s="106">
        <v>-4</v>
      </c>
      <c r="Z150" s="106"/>
      <c r="AA150" s="95">
        <f t="shared" si="42"/>
        <v>3</v>
      </c>
      <c r="AB150" s="105">
        <v>5</v>
      </c>
      <c r="AC150" s="104">
        <v>5</v>
      </c>
    </row>
    <row r="151" spans="1:29" ht="12.75">
      <c r="A151" s="87"/>
      <c r="B151" s="64" t="s">
        <v>699</v>
      </c>
      <c r="C151" s="88">
        <f t="shared" si="28"/>
        <v>4</v>
      </c>
      <c r="D151" s="64"/>
      <c r="E151" s="64" t="str">
        <f t="shared" si="39"/>
        <v>HCV</v>
      </c>
      <c r="F151" s="90" t="s">
        <v>704</v>
      </c>
      <c r="G151" s="89">
        <v>2</v>
      </c>
      <c r="H151" s="89"/>
      <c r="I151" s="105">
        <v>2</v>
      </c>
      <c r="J151" s="105">
        <v>0</v>
      </c>
      <c r="K151" s="105">
        <v>0</v>
      </c>
      <c r="L151" s="89"/>
      <c r="M151" s="105">
        <v>2</v>
      </c>
      <c r="N151" s="90" t="s">
        <v>2</v>
      </c>
      <c r="O151" s="90"/>
      <c r="P151" s="90"/>
      <c r="Q151" s="90"/>
      <c r="R151" s="90"/>
      <c r="S151" s="91">
        <f t="shared" si="43"/>
        <v>20</v>
      </c>
      <c r="T151" s="91">
        <f t="shared" si="40"/>
        <v>11</v>
      </c>
      <c r="U151" s="105">
        <v>6</v>
      </c>
      <c r="V151" s="105">
        <v>24</v>
      </c>
      <c r="W151" s="93">
        <f t="shared" si="19"/>
        <v>4</v>
      </c>
      <c r="X151" s="94">
        <f t="shared" si="41"/>
        <v>-2</v>
      </c>
      <c r="Y151" s="106">
        <v>-5</v>
      </c>
      <c r="Z151" s="106"/>
      <c r="AA151" s="95">
        <f t="shared" si="42"/>
        <v>4</v>
      </c>
      <c r="AB151" s="105">
        <v>6</v>
      </c>
      <c r="AC151" s="104">
        <v>6</v>
      </c>
    </row>
    <row r="152" spans="1:29" ht="12.75">
      <c r="A152" s="87"/>
      <c r="B152" s="64" t="s">
        <v>584</v>
      </c>
      <c r="C152" s="88">
        <f t="shared" si="28"/>
        <v>3</v>
      </c>
      <c r="D152" s="64" t="s">
        <v>469</v>
      </c>
      <c r="E152" s="64" t="str">
        <f t="shared" si="39"/>
        <v>HCV</v>
      </c>
      <c r="F152" s="90" t="s">
        <v>631</v>
      </c>
      <c r="G152" s="89">
        <v>1</v>
      </c>
      <c r="H152" s="89"/>
      <c r="I152" s="105">
        <v>1</v>
      </c>
      <c r="J152" s="105">
        <v>0</v>
      </c>
      <c r="K152" s="105">
        <v>0</v>
      </c>
      <c r="L152" s="89"/>
      <c r="M152" s="105">
        <v>1</v>
      </c>
      <c r="N152" s="90" t="s">
        <v>2</v>
      </c>
      <c r="O152" s="90"/>
      <c r="P152" s="90"/>
      <c r="Q152" s="90"/>
      <c r="R152" s="90"/>
      <c r="S152" s="91">
        <f t="shared" si="43"/>
        <v>11</v>
      </c>
      <c r="T152" s="91">
        <f t="shared" si="40"/>
        <v>9</v>
      </c>
      <c r="U152" s="105">
        <v>4</v>
      </c>
      <c r="V152" s="105">
        <v>16</v>
      </c>
      <c r="W152" s="93">
        <f t="shared" si="19"/>
        <v>4</v>
      </c>
      <c r="X152" s="94">
        <f t="shared" si="41"/>
        <v>-2</v>
      </c>
      <c r="Y152" s="106">
        <v>-4</v>
      </c>
      <c r="Z152" s="106"/>
      <c r="AA152" s="95">
        <f t="shared" si="42"/>
        <v>3</v>
      </c>
      <c r="AB152" s="105">
        <v>6</v>
      </c>
      <c r="AC152" s="104">
        <v>6</v>
      </c>
    </row>
    <row r="153" spans="1:29" ht="12.75">
      <c r="A153" s="87"/>
      <c r="B153" s="64" t="s">
        <v>705</v>
      </c>
      <c r="C153" s="88">
        <f t="shared" si="28"/>
        <v>2</v>
      </c>
      <c r="D153" s="64" t="s">
        <v>469</v>
      </c>
      <c r="E153" s="64" t="str">
        <f t="shared" si="39"/>
        <v>Medium</v>
      </c>
      <c r="F153" s="90" t="s">
        <v>706</v>
      </c>
      <c r="G153" s="89">
        <v>1</v>
      </c>
      <c r="H153" s="89"/>
      <c r="I153" s="105">
        <v>1</v>
      </c>
      <c r="J153" s="105">
        <v>0</v>
      </c>
      <c r="K153" s="105">
        <v>0</v>
      </c>
      <c r="L153" s="89"/>
      <c r="M153" s="105">
        <v>0</v>
      </c>
      <c r="N153" s="90" t="s">
        <v>2</v>
      </c>
      <c r="O153" s="90"/>
      <c r="P153" s="90"/>
      <c r="Q153" s="90"/>
      <c r="R153" s="90"/>
      <c r="S153" s="91">
        <f t="shared" si="43"/>
        <v>9</v>
      </c>
      <c r="T153" s="91">
        <f t="shared" si="40"/>
        <v>8</v>
      </c>
      <c r="U153" s="105">
        <v>3</v>
      </c>
      <c r="V153" s="105">
        <v>12</v>
      </c>
      <c r="W153" s="93">
        <f t="shared" si="19"/>
        <v>4</v>
      </c>
      <c r="X153" s="94">
        <f t="shared" si="41"/>
        <v>-2</v>
      </c>
      <c r="Y153" s="106">
        <v>-4</v>
      </c>
      <c r="Z153" s="106"/>
      <c r="AA153" s="95">
        <f t="shared" si="42"/>
        <v>2</v>
      </c>
      <c r="AB153" s="105">
        <v>6</v>
      </c>
      <c r="AC153" s="104">
        <v>6</v>
      </c>
    </row>
    <row r="154" spans="1:29" ht="12.75">
      <c r="A154" s="87"/>
      <c r="B154" s="64" t="s">
        <v>707</v>
      </c>
      <c r="C154" s="88">
        <f t="shared" si="28"/>
        <v>5</v>
      </c>
      <c r="D154" s="64" t="s">
        <v>469</v>
      </c>
      <c r="E154" s="64" t="str">
        <f t="shared" si="39"/>
        <v>HCV</v>
      </c>
      <c r="F154" s="90" t="s">
        <v>631</v>
      </c>
      <c r="G154" s="89">
        <v>1</v>
      </c>
      <c r="H154" s="89"/>
      <c r="I154" s="105">
        <v>1</v>
      </c>
      <c r="J154" s="105">
        <v>0</v>
      </c>
      <c r="K154" s="105">
        <v>0</v>
      </c>
      <c r="L154" s="89"/>
      <c r="M154" s="105">
        <v>4</v>
      </c>
      <c r="N154" s="90" t="s">
        <v>2</v>
      </c>
      <c r="O154" s="90"/>
      <c r="P154" s="90"/>
      <c r="Q154" s="90"/>
      <c r="R154" s="90"/>
      <c r="S154" s="91">
        <f t="shared" si="43"/>
        <v>19</v>
      </c>
      <c r="T154" s="91">
        <f t="shared" si="40"/>
        <v>11</v>
      </c>
      <c r="U154" s="105">
        <v>4</v>
      </c>
      <c r="V154" s="105">
        <v>16</v>
      </c>
      <c r="W154" s="93">
        <f t="shared" si="19"/>
        <v>4</v>
      </c>
      <c r="X154" s="94">
        <f t="shared" si="41"/>
        <v>-2</v>
      </c>
      <c r="Y154" s="106">
        <v>-4</v>
      </c>
      <c r="Z154" s="106"/>
      <c r="AA154" s="95">
        <f t="shared" si="42"/>
        <v>5</v>
      </c>
      <c r="AB154" s="105">
        <v>6</v>
      </c>
      <c r="AC154" s="104">
        <v>6</v>
      </c>
    </row>
    <row r="155" spans="1:29" ht="12.75">
      <c r="A155" s="87"/>
      <c r="B155" s="64" t="s">
        <v>708</v>
      </c>
      <c r="C155" s="88">
        <f t="shared" si="28"/>
        <v>3</v>
      </c>
      <c r="D155" s="64" t="s">
        <v>469</v>
      </c>
      <c r="E155" s="64" t="str">
        <f t="shared" si="39"/>
        <v>HCV</v>
      </c>
      <c r="F155" s="90" t="s">
        <v>615</v>
      </c>
      <c r="G155" s="89"/>
      <c r="H155" s="89"/>
      <c r="I155" s="105">
        <v>2</v>
      </c>
      <c r="J155" s="105">
        <v>0</v>
      </c>
      <c r="K155" s="105">
        <v>0</v>
      </c>
      <c r="L155" s="105">
        <v>0</v>
      </c>
      <c r="M155" s="105">
        <v>2</v>
      </c>
      <c r="N155" s="90" t="s">
        <v>2</v>
      </c>
      <c r="O155" s="90"/>
      <c r="P155" s="90"/>
      <c r="Q155" s="90"/>
      <c r="R155" s="90"/>
      <c r="S155" s="91">
        <f t="shared" si="43"/>
        <v>12</v>
      </c>
      <c r="T155" s="91">
        <f t="shared" si="40"/>
        <v>9</v>
      </c>
      <c r="U155" s="105">
        <v>3</v>
      </c>
      <c r="V155" s="105">
        <v>12</v>
      </c>
      <c r="W155" s="93">
        <f t="shared" si="19"/>
        <v>4</v>
      </c>
      <c r="X155" s="94">
        <f t="shared" si="41"/>
        <v>-2</v>
      </c>
      <c r="Y155" s="106">
        <v>-4</v>
      </c>
      <c r="Z155" s="106"/>
      <c r="AA155" s="95">
        <f t="shared" si="42"/>
        <v>3</v>
      </c>
      <c r="AB155" s="105">
        <v>5</v>
      </c>
      <c r="AC155" s="104">
        <v>5</v>
      </c>
    </row>
    <row r="156" spans="2:4" ht="12.75">
      <c r="B156" s="65" t="s">
        <v>983</v>
      </c>
      <c r="C156" s="88" t="e">
        <f>VLOOKUP(B156,Fighters,19,FALSE)</f>
        <v>#N/A</v>
      </c>
      <c r="D156" s="65" t="s">
        <v>55</v>
      </c>
    </row>
    <row r="157" spans="1:29" ht="12.75">
      <c r="A157" s="78" t="s">
        <v>19</v>
      </c>
      <c r="B157" s="79"/>
      <c r="C157" s="88">
        <f aca="true" t="shared" si="44" ref="C157:C162">AA157</f>
        <v>0</v>
      </c>
      <c r="D157" s="79"/>
      <c r="E157" s="79"/>
      <c r="F157" s="81"/>
      <c r="G157" s="82"/>
      <c r="H157" s="82"/>
      <c r="I157" s="109"/>
      <c r="J157" s="109"/>
      <c r="K157" s="109"/>
      <c r="L157" s="82"/>
      <c r="M157" s="109"/>
      <c r="N157" s="81"/>
      <c r="O157" s="81"/>
      <c r="P157" s="81"/>
      <c r="Q157" s="81"/>
      <c r="R157" s="81"/>
      <c r="S157" s="81"/>
      <c r="T157" s="81"/>
      <c r="U157" s="81"/>
      <c r="V157" s="81"/>
      <c r="W157" s="84"/>
      <c r="X157" s="85"/>
      <c r="Y157" s="83"/>
      <c r="Z157" s="83"/>
      <c r="AA157" s="85"/>
      <c r="AB157" s="81"/>
      <c r="AC157" s="86"/>
    </row>
    <row r="158" spans="1:29" ht="12.75">
      <c r="A158" s="102"/>
      <c r="B158" s="64" t="s">
        <v>876</v>
      </c>
      <c r="C158" s="88">
        <f t="shared" si="44"/>
        <v>-2</v>
      </c>
      <c r="D158" s="64" t="s">
        <v>870</v>
      </c>
      <c r="E158" s="64" t="str">
        <f>VLOOKUP(S158,size,3)</f>
        <v>Shuttle</v>
      </c>
      <c r="F158" s="90"/>
      <c r="G158" s="89"/>
      <c r="H158" s="105">
        <v>0</v>
      </c>
      <c r="I158" s="105"/>
      <c r="J158" s="105">
        <v>1</v>
      </c>
      <c r="K158" s="105"/>
      <c r="L158" s="89"/>
      <c r="M158" s="105">
        <v>0</v>
      </c>
      <c r="N158" s="90"/>
      <c r="O158" s="90"/>
      <c r="P158" s="90"/>
      <c r="Q158" s="90"/>
      <c r="R158" s="90"/>
      <c r="S158" s="91">
        <f>ROUND((G$2*G158+H$2*H158+I$2*I158+J$2*J158+K$2*K158+L$2*L158+M$2*M158+IF(N158="Y",N$2,0)+IF(O158="Y",O$2,0)+P$2*P158+R158),0)</f>
        <v>2</v>
      </c>
      <c r="T158" s="91">
        <f>VLOOKUP(S158,size,2)</f>
        <v>4</v>
      </c>
      <c r="U158" s="105">
        <v>1</v>
      </c>
      <c r="V158" s="105">
        <v>10</v>
      </c>
      <c r="W158" s="93">
        <f>V158/U158</f>
        <v>10</v>
      </c>
      <c r="X158" s="94">
        <f>-ROUND(V158/U158/2,0)</f>
        <v>-5</v>
      </c>
      <c r="Y158" s="106"/>
      <c r="Z158" s="106">
        <v>-1</v>
      </c>
      <c r="AA158" s="95">
        <f>ROUND(T158+X158+Y158+Z158,0)</f>
        <v>-2</v>
      </c>
      <c r="AB158" s="105"/>
      <c r="AC158" s="104">
        <v>1</v>
      </c>
    </row>
    <row r="159" spans="1:29" ht="12.75">
      <c r="A159" s="102"/>
      <c r="B159" s="64" t="s">
        <v>874</v>
      </c>
      <c r="C159" s="88">
        <f t="shared" si="44"/>
        <v>3</v>
      </c>
      <c r="D159" s="64" t="s">
        <v>632</v>
      </c>
      <c r="E159" s="64" t="str">
        <f>VLOOKUP(S159,size,3)</f>
        <v>Medium</v>
      </c>
      <c r="F159" s="90"/>
      <c r="G159" s="89"/>
      <c r="H159" s="105">
        <v>1</v>
      </c>
      <c r="I159" s="105"/>
      <c r="J159" s="105"/>
      <c r="K159" s="105"/>
      <c r="L159" s="89"/>
      <c r="M159" s="105">
        <v>0</v>
      </c>
      <c r="N159" s="90"/>
      <c r="O159" s="90"/>
      <c r="P159" s="90"/>
      <c r="Q159" s="90"/>
      <c r="R159" s="90"/>
      <c r="S159" s="91">
        <f>ROUND((G$2*G159+H$2*H159+I$2*I159+J$2*J159+K$2*K159+L$2*L159+M$2*M159+IF(N159="Y",N$2,0)+IF(O159="Y",O$2,0)+P$2*P159+R159),0)</f>
        <v>6</v>
      </c>
      <c r="T159" s="91">
        <f>VLOOKUP(S159,size,2)</f>
        <v>7</v>
      </c>
      <c r="U159" s="105">
        <v>2</v>
      </c>
      <c r="V159" s="105">
        <v>10</v>
      </c>
      <c r="W159" s="93">
        <f>V159/U159</f>
        <v>5</v>
      </c>
      <c r="X159" s="94">
        <f>-ROUND(V159/U159/2,0)</f>
        <v>-3</v>
      </c>
      <c r="Y159" s="106"/>
      <c r="Z159" s="106">
        <v>-1</v>
      </c>
      <c r="AA159" s="95">
        <f>ROUND(T159+X159+Y159+Z159,0)</f>
        <v>3</v>
      </c>
      <c r="AB159" s="105"/>
      <c r="AC159" s="104">
        <v>1</v>
      </c>
    </row>
    <row r="160" spans="1:29" ht="12.75">
      <c r="A160" s="102"/>
      <c r="B160" s="64" t="s">
        <v>877</v>
      </c>
      <c r="C160" s="88">
        <f t="shared" si="44"/>
        <v>9</v>
      </c>
      <c r="D160" s="64" t="s">
        <v>611</v>
      </c>
      <c r="E160" s="64" t="str">
        <f>VLOOKUP(S160,size,3)</f>
        <v>HCV</v>
      </c>
      <c r="F160" s="90"/>
      <c r="G160" s="89"/>
      <c r="H160" s="105"/>
      <c r="I160" s="105">
        <v>2</v>
      </c>
      <c r="J160" s="105">
        <v>2</v>
      </c>
      <c r="K160" s="105">
        <v>4</v>
      </c>
      <c r="L160" s="89"/>
      <c r="M160" s="105">
        <v>0</v>
      </c>
      <c r="N160" s="90" t="s">
        <v>2</v>
      </c>
      <c r="O160" s="90"/>
      <c r="P160" s="90"/>
      <c r="Q160" s="90"/>
      <c r="R160" s="90"/>
      <c r="S160" s="91">
        <f>ROUND((G$2*G160+H$2*H160+I$2*I160+J$2*J160+K$2*K160+L$2*L160+M$2*M160+IF(N160="Y",N$2,0)+IF(O160="Y",O$2,0)+P$2*P160+R160),0)</f>
        <v>21</v>
      </c>
      <c r="T160" s="91">
        <f>VLOOKUP(S160,size,2)</f>
        <v>11</v>
      </c>
      <c r="U160" s="105">
        <v>2</v>
      </c>
      <c r="V160" s="105">
        <v>8</v>
      </c>
      <c r="W160" s="93">
        <f>V160/U160</f>
        <v>4</v>
      </c>
      <c r="X160" s="94">
        <f>-ROUND(V160/U160/2,0)</f>
        <v>-2</v>
      </c>
      <c r="Y160" s="106"/>
      <c r="Z160" s="106"/>
      <c r="AA160" s="95">
        <f>ROUND(T160+X160+Y160+Z160,0)</f>
        <v>9</v>
      </c>
      <c r="AB160" s="105"/>
      <c r="AC160" s="104">
        <v>3</v>
      </c>
    </row>
    <row r="161" spans="1:29" ht="12.75">
      <c r="A161" s="102"/>
      <c r="B161" s="64" t="s">
        <v>880</v>
      </c>
      <c r="C161" s="88">
        <f t="shared" si="44"/>
        <v>14</v>
      </c>
      <c r="D161" s="64" t="s">
        <v>621</v>
      </c>
      <c r="E161" s="64" t="str">
        <f>VLOOKUP(S161,size,3)</f>
        <v>Carrier</v>
      </c>
      <c r="F161" s="90"/>
      <c r="G161" s="89"/>
      <c r="H161" s="105">
        <v>2</v>
      </c>
      <c r="I161" s="105">
        <v>2</v>
      </c>
      <c r="J161" s="105">
        <v>4</v>
      </c>
      <c r="K161" s="105">
        <v>4</v>
      </c>
      <c r="L161" s="89"/>
      <c r="M161" s="105">
        <v>2</v>
      </c>
      <c r="N161" s="90" t="s">
        <v>2</v>
      </c>
      <c r="O161" s="90"/>
      <c r="P161" s="90"/>
      <c r="Q161" s="90"/>
      <c r="R161" s="90"/>
      <c r="S161" s="91">
        <f>ROUND((G$2*G161+H$2*H161+I$2*I161+J$2*J161+K$2*K161+L$2*L161+M$2*M161+IF(N161="Y",N$2,0)+IF(O161="Y",O$2,0)+P$2*P161+R161),0)</f>
        <v>47</v>
      </c>
      <c r="T161" s="91">
        <f>VLOOKUP(S161,size,2)</f>
        <v>16</v>
      </c>
      <c r="U161" s="105">
        <v>3</v>
      </c>
      <c r="V161" s="105">
        <v>10</v>
      </c>
      <c r="W161" s="93">
        <f>V161/U161</f>
        <v>3.3333333333333335</v>
      </c>
      <c r="X161" s="94">
        <f>-ROUND(V161/U161/2,0)</f>
        <v>-2</v>
      </c>
      <c r="Y161" s="106"/>
      <c r="Z161" s="106"/>
      <c r="AA161" s="95">
        <f>ROUND(T161+X161+Y161+Z161,0)</f>
        <v>14</v>
      </c>
      <c r="AB161" s="105"/>
      <c r="AC161" s="104">
        <v>5</v>
      </c>
    </row>
    <row r="162" spans="1:29" ht="12.75">
      <c r="A162" s="102"/>
      <c r="B162" s="65" t="s">
        <v>878</v>
      </c>
      <c r="C162" s="88">
        <f t="shared" si="44"/>
        <v>17</v>
      </c>
      <c r="D162" s="64" t="s">
        <v>614</v>
      </c>
      <c r="E162" s="64" t="str">
        <f>VLOOKUP(S162,size,3)</f>
        <v>Carrier</v>
      </c>
      <c r="F162" s="90"/>
      <c r="G162" s="89"/>
      <c r="H162" s="105">
        <v>2</v>
      </c>
      <c r="I162" s="105"/>
      <c r="J162" s="105">
        <v>4</v>
      </c>
      <c r="K162" s="105">
        <v>4</v>
      </c>
      <c r="L162" s="89"/>
      <c r="M162" s="105">
        <v>8</v>
      </c>
      <c r="N162" s="90" t="s">
        <v>2</v>
      </c>
      <c r="O162" s="90"/>
      <c r="P162" s="90"/>
      <c r="Q162" s="90"/>
      <c r="R162" s="90"/>
      <c r="S162" s="91">
        <f>ROUND((G$2*G162+H$2*H162+I$2*I162+J$2*J162+K$2*K162+L$2*L162+M$2*M162+IF(N162="Y",N$2,0)+IF(O162="Y",O$2,0)+P$2*P162+R162),0)</f>
        <v>69</v>
      </c>
      <c r="T162" s="91">
        <f>VLOOKUP(S162,size,2)</f>
        <v>18</v>
      </c>
      <c r="U162" s="105">
        <v>4</v>
      </c>
      <c r="V162" s="105">
        <v>8</v>
      </c>
      <c r="W162" s="93">
        <f>V162/U162</f>
        <v>2</v>
      </c>
      <c r="X162" s="94">
        <f>-ROUND(V162/U162/2,0)</f>
        <v>-1</v>
      </c>
      <c r="Y162" s="106"/>
      <c r="Z162" s="106"/>
      <c r="AA162" s="95">
        <f>ROUND(T162+X162+Y162+Z162,0)</f>
        <v>17</v>
      </c>
      <c r="AB162" s="105"/>
      <c r="AC162" s="104">
        <v>6</v>
      </c>
    </row>
    <row r="163" spans="1:29" ht="12.75">
      <c r="A163" s="211" t="s">
        <v>932</v>
      </c>
      <c r="B163" s="79"/>
      <c r="C163" s="88">
        <f>AA163</f>
        <v>0</v>
      </c>
      <c r="D163" s="79"/>
      <c r="E163" s="79"/>
      <c r="F163" s="81"/>
      <c r="G163" s="82"/>
      <c r="H163" s="82"/>
      <c r="I163" s="109"/>
      <c r="J163" s="109"/>
      <c r="K163" s="109"/>
      <c r="L163" s="82"/>
      <c r="M163" s="109"/>
      <c r="N163" s="81"/>
      <c r="O163" s="81"/>
      <c r="P163" s="81"/>
      <c r="Q163" s="81"/>
      <c r="R163" s="81"/>
      <c r="S163" s="81"/>
      <c r="T163" s="81"/>
      <c r="U163" s="81"/>
      <c r="V163" s="81"/>
      <c r="W163" s="84"/>
      <c r="X163" s="85"/>
      <c r="Y163" s="83"/>
      <c r="Z163" s="83"/>
      <c r="AA163" s="85"/>
      <c r="AB163" s="81"/>
      <c r="AC163" s="86"/>
    </row>
    <row r="164" spans="1:29" ht="12.75">
      <c r="A164" s="102"/>
      <c r="B164" s="64" t="s">
        <v>934</v>
      </c>
      <c r="C164" s="88">
        <f>AA164</f>
        <v>12</v>
      </c>
      <c r="D164" s="64" t="s">
        <v>611</v>
      </c>
      <c r="E164" s="64" t="str">
        <f>VLOOKUP(S164,size,3)</f>
        <v>Capital</v>
      </c>
      <c r="F164" s="90"/>
      <c r="G164" s="89"/>
      <c r="H164" s="105">
        <v>0</v>
      </c>
      <c r="I164" s="105">
        <v>4</v>
      </c>
      <c r="J164" s="105"/>
      <c r="K164" s="105">
        <v>4</v>
      </c>
      <c r="L164" s="89"/>
      <c r="M164" s="105">
        <v>0</v>
      </c>
      <c r="N164" s="90"/>
      <c r="O164" s="90"/>
      <c r="P164" s="90"/>
      <c r="Q164" s="90" t="s">
        <v>935</v>
      </c>
      <c r="R164" s="90">
        <v>6</v>
      </c>
      <c r="S164" s="91">
        <f>ROUND((G$2*G164+H$2*H164+I$2*I164+J$2*J164+K$2*K164+L$2*L164+M$2*M164+IF(N164="Y",N$2,0)+IF(O164="Y",O$2,0)+P$2*P164+R164),0)</f>
        <v>26</v>
      </c>
      <c r="T164" s="91">
        <f>VLOOKUP(S164,size,2)</f>
        <v>13</v>
      </c>
      <c r="U164" s="105">
        <v>3</v>
      </c>
      <c r="V164" s="105">
        <v>8</v>
      </c>
      <c r="W164" s="93">
        <f>V164/U164</f>
        <v>2.6666666666666665</v>
      </c>
      <c r="X164" s="94">
        <f>-ROUND(V164/U164/2,0)</f>
        <v>-1</v>
      </c>
      <c r="Y164" s="106"/>
      <c r="Z164" s="106"/>
      <c r="AA164" s="95">
        <f>ROUND(T164+X164+Y164+Z164,0)</f>
        <v>12</v>
      </c>
      <c r="AB164" s="105"/>
      <c r="AC164" s="104">
        <v>3</v>
      </c>
    </row>
  </sheetData>
  <autoFilter ref="D1:E155"/>
  <mergeCells count="10">
    <mergeCell ref="A1:A2"/>
    <mergeCell ref="B1:B2"/>
    <mergeCell ref="D1:D2"/>
    <mergeCell ref="F1:F2"/>
    <mergeCell ref="X1:X2"/>
    <mergeCell ref="AB1:AB2"/>
    <mergeCell ref="AC1:AC2"/>
    <mergeCell ref="U1:U2"/>
    <mergeCell ref="V1:V2"/>
    <mergeCell ref="W1:W2"/>
  </mergeCells>
  <conditionalFormatting sqref="E143:E146 E130:E141 E164 E107:E118 E149:E155 E29:E42 E4:E22 E91:E102 E47:E69 E158:E162 E120:E128 E71:E89">
    <cfRule type="cellIs" priority="1" dxfId="5" operator="notEqual" stopIfTrue="1">
      <formula>$D4</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AP251"/>
  <sheetViews>
    <sheetView workbookViewId="0" topLeftCell="A1">
      <pane xSplit="3" ySplit="4" topLeftCell="D62" activePane="bottomRight" state="frozen"/>
      <selection pane="topLeft" activeCell="A1" sqref="A1"/>
      <selection pane="topRight" activeCell="D1" sqref="D1"/>
      <selection pane="bottomLeft" activeCell="A5" sqref="A5"/>
      <selection pane="bottomRight" activeCell="O135" sqref="O135"/>
    </sheetView>
  </sheetViews>
  <sheetFormatPr defaultColWidth="9.140625" defaultRowHeight="12.75"/>
  <cols>
    <col min="1" max="1" width="28.00390625" style="0" customWidth="1"/>
    <col min="8" max="13" width="6.7109375" style="0" customWidth="1"/>
    <col min="14" max="14" width="0" style="0" hidden="1" customWidth="1"/>
    <col min="19" max="21" width="0" style="0" hidden="1" customWidth="1"/>
    <col min="25" max="25" width="14.8515625" style="0" hidden="1" customWidth="1"/>
    <col min="26" max="26" width="16.140625" style="0" customWidth="1"/>
    <col min="27" max="27" width="9.140625" style="0" hidden="1" customWidth="1"/>
    <col min="39" max="39" width="8.421875" style="5" customWidth="1"/>
    <col min="40" max="40" width="36.28125" style="0" customWidth="1"/>
    <col min="41" max="41" width="0" style="0" hidden="1" customWidth="1"/>
  </cols>
  <sheetData>
    <row r="1" spans="2:41" ht="27">
      <c r="B1" s="12"/>
      <c r="C1" s="9"/>
      <c r="E1" s="3"/>
      <c r="F1" s="41" t="s">
        <v>476</v>
      </c>
      <c r="G1" s="5"/>
      <c r="H1" s="5"/>
      <c r="I1" s="5"/>
      <c r="J1" s="5"/>
      <c r="K1" s="5"/>
      <c r="L1" s="5"/>
      <c r="M1" s="5"/>
      <c r="N1" s="10"/>
      <c r="O1" s="10"/>
      <c r="P1" s="10"/>
      <c r="Q1" s="10"/>
      <c r="R1" s="10"/>
      <c r="S1" s="9"/>
      <c r="T1" s="9"/>
      <c r="U1" s="9"/>
      <c r="V1" s="9"/>
      <c r="W1" s="7"/>
      <c r="X1" s="4"/>
      <c r="Y1" s="14"/>
      <c r="Z1" s="5"/>
      <c r="AB1" s="5"/>
      <c r="AC1" s="7"/>
      <c r="AD1" s="6"/>
      <c r="AE1" s="5"/>
      <c r="AF1" s="4"/>
      <c r="AG1" s="4"/>
      <c r="AH1" s="4"/>
      <c r="AI1" s="4"/>
      <c r="AJ1" s="7"/>
      <c r="AK1" s="4"/>
      <c r="AL1" s="4"/>
      <c r="AO1" s="4"/>
    </row>
    <row r="2" spans="2:41" ht="12.75">
      <c r="B2" s="12"/>
      <c r="C2" s="9"/>
      <c r="E2" s="3"/>
      <c r="F2" s="7"/>
      <c r="G2" s="5"/>
      <c r="H2" s="5"/>
      <c r="I2" s="5"/>
      <c r="J2" s="5"/>
      <c r="K2" s="5"/>
      <c r="L2" s="5"/>
      <c r="M2" s="5"/>
      <c r="N2" s="10"/>
      <c r="O2" s="10"/>
      <c r="P2" s="10"/>
      <c r="Q2" s="10"/>
      <c r="R2" s="10"/>
      <c r="S2" s="9"/>
      <c r="T2" s="9"/>
      <c r="U2" s="9"/>
      <c r="V2" s="9"/>
      <c r="W2" s="7"/>
      <c r="X2" s="4"/>
      <c r="Y2" s="14"/>
      <c r="Z2" s="5"/>
      <c r="AB2" s="5"/>
      <c r="AC2" s="7"/>
      <c r="AD2" s="6"/>
      <c r="AE2" s="5"/>
      <c r="AF2" s="4"/>
      <c r="AG2" s="4"/>
      <c r="AH2" s="4" t="s">
        <v>475</v>
      </c>
      <c r="AI2" s="4"/>
      <c r="AJ2" s="7"/>
      <c r="AK2" s="4"/>
      <c r="AL2" s="4"/>
      <c r="AO2" s="4"/>
    </row>
    <row r="3" spans="1:41" ht="12.75">
      <c r="A3" s="21" t="s">
        <v>474</v>
      </c>
      <c r="B3" s="40" t="s">
        <v>453</v>
      </c>
      <c r="C3" s="38" t="s">
        <v>454</v>
      </c>
      <c r="D3" s="21" t="s">
        <v>473</v>
      </c>
      <c r="E3" s="33" t="s">
        <v>472</v>
      </c>
      <c r="F3" s="31" t="s">
        <v>471</v>
      </c>
      <c r="G3" s="33" t="s">
        <v>441</v>
      </c>
      <c r="H3" s="33"/>
      <c r="I3" s="33"/>
      <c r="J3" s="33"/>
      <c r="K3" s="35"/>
      <c r="L3" s="33"/>
      <c r="M3" s="33"/>
      <c r="N3" s="39" t="s">
        <v>470</v>
      </c>
      <c r="O3" s="39"/>
      <c r="P3" s="39" t="s">
        <v>448</v>
      </c>
      <c r="Q3" s="39"/>
      <c r="R3" s="39"/>
      <c r="S3" s="38" t="s">
        <v>469</v>
      </c>
      <c r="T3" s="38" t="s">
        <v>468</v>
      </c>
      <c r="U3" s="38" t="s">
        <v>55</v>
      </c>
      <c r="V3" s="38"/>
      <c r="W3" s="31" t="s">
        <v>466</v>
      </c>
      <c r="X3" s="34" t="s">
        <v>465</v>
      </c>
      <c r="Y3" s="148" t="s">
        <v>872</v>
      </c>
      <c r="Z3" s="35" t="s">
        <v>463</v>
      </c>
      <c r="AA3" s="15"/>
      <c r="AB3" s="35" t="s">
        <v>462</v>
      </c>
      <c r="AC3" s="31" t="s">
        <v>461</v>
      </c>
      <c r="AD3" s="36" t="s">
        <v>441</v>
      </c>
      <c r="AE3" s="35" t="s">
        <v>460</v>
      </c>
      <c r="AF3" s="34" t="s">
        <v>459</v>
      </c>
      <c r="AG3" s="34" t="s">
        <v>459</v>
      </c>
      <c r="AH3" s="34" t="s">
        <v>458</v>
      </c>
      <c r="AI3" s="34" t="s">
        <v>448</v>
      </c>
      <c r="AJ3" s="31" t="s">
        <v>457</v>
      </c>
      <c r="AK3" s="34" t="s">
        <v>456</v>
      </c>
      <c r="AL3" s="34" t="s">
        <v>455</v>
      </c>
      <c r="AM3" s="34" t="s">
        <v>891</v>
      </c>
      <c r="AN3" s="34" t="s">
        <v>892</v>
      </c>
      <c r="AO3" s="34" t="s">
        <v>454</v>
      </c>
    </row>
    <row r="4" spans="1:41" ht="12.75">
      <c r="A4" s="21"/>
      <c r="B4" s="32"/>
      <c r="C4" s="38" t="s">
        <v>438</v>
      </c>
      <c r="D4" s="21"/>
      <c r="E4" s="33" t="s">
        <v>452</v>
      </c>
      <c r="F4" s="31"/>
      <c r="G4" s="33"/>
      <c r="H4" s="33" t="s">
        <v>451</v>
      </c>
      <c r="I4" s="33" t="s">
        <v>403</v>
      </c>
      <c r="J4" s="33" t="s">
        <v>450</v>
      </c>
      <c r="K4" s="33" t="s">
        <v>271</v>
      </c>
      <c r="L4" s="33" t="s">
        <v>364</v>
      </c>
      <c r="M4" s="33" t="s">
        <v>449</v>
      </c>
      <c r="N4" s="39" t="s">
        <v>448</v>
      </c>
      <c r="O4" s="39">
        <v>0</v>
      </c>
      <c r="P4" s="39">
        <v>5</v>
      </c>
      <c r="Q4" s="39">
        <v>10</v>
      </c>
      <c r="R4" s="39">
        <v>20</v>
      </c>
      <c r="S4" s="38" t="s">
        <v>447</v>
      </c>
      <c r="T4" s="38" t="s">
        <v>447</v>
      </c>
      <c r="U4" s="38" t="s">
        <v>447</v>
      </c>
      <c r="V4" s="38"/>
      <c r="W4" s="31"/>
      <c r="X4" s="34" t="s">
        <v>446</v>
      </c>
      <c r="Y4" s="148" t="s">
        <v>464</v>
      </c>
      <c r="Z4" s="35" t="s">
        <v>445</v>
      </c>
      <c r="AA4" s="15"/>
      <c r="AB4" s="35"/>
      <c r="AC4" s="15" t="s">
        <v>444</v>
      </c>
      <c r="AD4" s="36" t="s">
        <v>443</v>
      </c>
      <c r="AE4" s="35"/>
      <c r="AF4" s="34" t="s">
        <v>442</v>
      </c>
      <c r="AG4" s="34" t="s">
        <v>441</v>
      </c>
      <c r="AH4" s="34" t="s">
        <v>440</v>
      </c>
      <c r="AI4" s="34"/>
      <c r="AJ4" s="31" t="s">
        <v>439</v>
      </c>
      <c r="AK4" s="15"/>
      <c r="AL4" s="34"/>
      <c r="AO4" s="34"/>
    </row>
    <row r="5" spans="1:41" ht="12.75">
      <c r="A5" s="21"/>
      <c r="B5" s="40"/>
      <c r="C5" s="38"/>
      <c r="D5" s="21"/>
      <c r="E5" s="33"/>
      <c r="F5" s="31"/>
      <c r="G5" s="33"/>
      <c r="H5" s="33"/>
      <c r="I5" s="33"/>
      <c r="J5" s="33"/>
      <c r="K5" s="33"/>
      <c r="L5" s="33"/>
      <c r="M5" s="33"/>
      <c r="N5" s="39"/>
      <c r="O5" s="39"/>
      <c r="P5" s="39" t="s">
        <v>902</v>
      </c>
      <c r="Q5" s="39"/>
      <c r="R5" s="39"/>
      <c r="S5" s="38"/>
      <c r="T5" s="38"/>
      <c r="U5" s="38"/>
      <c r="V5" s="38" t="s">
        <v>903</v>
      </c>
      <c r="W5" s="31"/>
      <c r="X5" s="34"/>
      <c r="Y5" s="37"/>
      <c r="Z5" s="35"/>
      <c r="AA5" s="15"/>
      <c r="AB5" s="35"/>
      <c r="AC5" s="31" t="s">
        <v>437</v>
      </c>
      <c r="AD5" s="36"/>
      <c r="AE5" s="35"/>
      <c r="AF5" s="34"/>
      <c r="AG5" s="34"/>
      <c r="AH5" s="34"/>
      <c r="AI5" s="34"/>
      <c r="AJ5" s="31"/>
      <c r="AK5" s="34"/>
      <c r="AL5" s="34"/>
      <c r="AO5" s="34"/>
    </row>
    <row r="6" spans="1:41" ht="12.75">
      <c r="A6" s="21" t="s">
        <v>22</v>
      </c>
      <c r="B6" s="32"/>
      <c r="C6" s="38"/>
      <c r="D6" s="21"/>
      <c r="E6" s="33"/>
      <c r="F6" s="31"/>
      <c r="G6" s="33"/>
      <c r="H6" s="33"/>
      <c r="I6" s="33"/>
      <c r="J6" s="33"/>
      <c r="K6" s="33"/>
      <c r="L6" s="33"/>
      <c r="M6" s="33"/>
      <c r="N6" s="39"/>
      <c r="O6" s="39"/>
      <c r="P6" s="39"/>
      <c r="Q6" s="39"/>
      <c r="R6" s="39"/>
      <c r="S6" s="38"/>
      <c r="T6" s="38"/>
      <c r="U6" s="38"/>
      <c r="V6" s="38"/>
      <c r="W6" s="31"/>
      <c r="X6" s="34"/>
      <c r="Y6" s="37"/>
      <c r="Z6" s="35"/>
      <c r="AA6" s="15"/>
      <c r="AB6" s="35"/>
      <c r="AC6" s="1" t="s">
        <v>436</v>
      </c>
      <c r="AD6" s="36"/>
      <c r="AE6" s="35"/>
      <c r="AF6" s="34"/>
      <c r="AG6" s="34"/>
      <c r="AH6" s="34"/>
      <c r="AI6" s="34"/>
      <c r="AJ6" s="31"/>
      <c r="AK6" s="34"/>
      <c r="AL6" s="34"/>
      <c r="AO6" s="34"/>
    </row>
    <row r="7" spans="1:42" ht="12.75">
      <c r="A7" s="17" t="s">
        <v>434</v>
      </c>
      <c r="B7" s="2" t="s">
        <v>435</v>
      </c>
      <c r="C7" s="9">
        <f>AG7*AJ7*AK7*(1+AL7/10)*AM7*(2+V7/20)</f>
        <v>29.403000000000006</v>
      </c>
      <c r="D7" s="17" t="s">
        <v>22</v>
      </c>
      <c r="E7" s="3" t="s">
        <v>12</v>
      </c>
      <c r="F7" s="7">
        <v>0</v>
      </c>
      <c r="G7" s="3" t="s">
        <v>11</v>
      </c>
      <c r="H7" s="3" t="s">
        <v>2</v>
      </c>
      <c r="I7" s="3" t="s">
        <v>2</v>
      </c>
      <c r="J7" s="3"/>
      <c r="K7" s="3"/>
      <c r="L7" s="3"/>
      <c r="M7" s="3"/>
      <c r="N7" s="10" t="str">
        <f aca="true" t="shared" si="0" ref="N7:N21">VLOOKUP(D7,Weapon_range,(VLOOKUP(E7,weapon_size_col,2,FALSE)),FALSE)</f>
        <v>1/4</v>
      </c>
      <c r="O7" s="10">
        <v>4</v>
      </c>
      <c r="P7" s="10">
        <v>2</v>
      </c>
      <c r="Q7" s="10">
        <v>-8</v>
      </c>
      <c r="R7" s="10">
        <v>-21</v>
      </c>
      <c r="S7" s="9">
        <f aca="true" t="shared" si="1" ref="S7:S21">VLOOKUP($D7,Weapon_mode,2,FALSE)+VLOOKUP($E7,Weapon_size,2,FALSE)</f>
        <v>0</v>
      </c>
      <c r="T7" s="9">
        <f aca="true" t="shared" si="2" ref="T7:T21">VLOOKUP($D7,Weapon_mode,3,FALSE)++VLOOKUP($E7,Weapon_size,3,FALSE)</f>
        <v>2</v>
      </c>
      <c r="U7" s="9">
        <f aca="true" t="shared" si="3" ref="U7:U21">VLOOKUP($D7,Weapon_mode,4,FALSE)+VLOOKUP($E7,Weapon_size,4,FALSE)</f>
        <v>3</v>
      </c>
      <c r="V7" s="9">
        <f>ROUND(O7/3+P7/2+IF(Q7&gt;-20,Q7,-20)/2+IF(R7&gt;-20,R7,-20)/3.5,0)</f>
        <v>-7</v>
      </c>
      <c r="W7" s="7">
        <v>240</v>
      </c>
      <c r="X7" s="7" t="s">
        <v>21</v>
      </c>
      <c r="Y7" s="30" t="s">
        <v>137</v>
      </c>
      <c r="Z7" s="7" t="s">
        <v>432</v>
      </c>
      <c r="AA7" s="7"/>
      <c r="AB7" s="7">
        <v>28</v>
      </c>
      <c r="AC7" s="7">
        <f aca="true" t="shared" si="4" ref="AC7:AC21">AB7-8</f>
        <v>20</v>
      </c>
      <c r="AD7" s="6">
        <f aca="true" t="shared" si="5" ref="AD7:AD21">VLOOKUP(G7,RoF,2,FALSE)</f>
        <v>1.4</v>
      </c>
      <c r="AE7" s="5">
        <v>4</v>
      </c>
      <c r="AF7" s="4">
        <f aca="true" t="shared" si="6" ref="AF7:AF20">AB7/(AD7*AE7)</f>
        <v>5</v>
      </c>
      <c r="AG7" s="4">
        <f aca="true" t="shared" si="7" ref="AG7:AG21">AC7/AD7*IF(H7="Y",raking,1)*IF(I7="Y",Pierce,1)*IF(J7="Y",Sustained,1)*IF(K7="Y",standard,1)*IF(L7="Y",Pulse,1)*IF(M7="Y",Flash,1)</f>
        <v>13.500000000000002</v>
      </c>
      <c r="AH7" s="4">
        <f aca="true" t="shared" si="8" ref="AH7:AH18">VLOOKUP(S7,FireControl,2)</f>
        <v>1</v>
      </c>
      <c r="AI7" s="4">
        <f aca="true" t="shared" si="9" ref="AI7:AI21">VLOOKUP(N7,Range,2,FALSE)</f>
        <v>1.55</v>
      </c>
      <c r="AJ7" s="4">
        <f aca="true" t="shared" si="10" ref="AJ7:AJ21">VLOOKUP(W7,Arc,2,FALSE)</f>
        <v>1.2</v>
      </c>
      <c r="AK7" s="4">
        <f aca="true" t="shared" si="11" ref="AK7:AK21">VLOOKUP(X7,Interceptable,2,FALSE)</f>
        <v>1.1</v>
      </c>
      <c r="AL7" s="4">
        <f aca="true" t="shared" si="12" ref="AL7:AL21">VLOOKUP(F7,Interceptability,2,FALSE)</f>
        <v>0</v>
      </c>
      <c r="AM7" s="5">
        <v>1</v>
      </c>
      <c r="AO7" s="4">
        <f aca="true" t="shared" si="13" ref="AO7:AO21">MAX(AG7*AH7*AI7*AJ7*AK7*AM7,AL7)+MIN(AG7*AH7*AI7*AJ7*AK7,AL7)/2</f>
        <v>27.621000000000006</v>
      </c>
      <c r="AP7" s="4"/>
    </row>
    <row r="8" spans="1:42" ht="12.75">
      <c r="A8" s="17" t="s">
        <v>434</v>
      </c>
      <c r="B8" s="2" t="s">
        <v>931</v>
      </c>
      <c r="C8" s="9">
        <f aca="true" t="shared" si="14" ref="C8:C71">AG8*AJ8*AK8*(1+AL8/10)*AM8*(2+V8/20)</f>
        <v>24.502500000000005</v>
      </c>
      <c r="D8" s="17" t="s">
        <v>22</v>
      </c>
      <c r="E8" s="3" t="s">
        <v>12</v>
      </c>
      <c r="F8" s="7">
        <v>0</v>
      </c>
      <c r="G8" s="3" t="s">
        <v>11</v>
      </c>
      <c r="H8" s="3" t="s">
        <v>2</v>
      </c>
      <c r="I8" s="3" t="s">
        <v>2</v>
      </c>
      <c r="J8" s="3"/>
      <c r="K8" s="3"/>
      <c r="L8" s="3"/>
      <c r="M8" s="3"/>
      <c r="N8" s="10" t="str">
        <f>VLOOKUP(D8,Weapon_range,(VLOOKUP(E8,weapon_size_col,2,FALSE)),FALSE)</f>
        <v>1/4</v>
      </c>
      <c r="O8" s="10">
        <v>4</v>
      </c>
      <c r="P8" s="10">
        <v>2</v>
      </c>
      <c r="Q8" s="10">
        <v>-8</v>
      </c>
      <c r="R8" s="10">
        <v>-21</v>
      </c>
      <c r="S8" s="9">
        <f t="shared" si="1"/>
        <v>0</v>
      </c>
      <c r="T8" s="9">
        <f t="shared" si="2"/>
        <v>2</v>
      </c>
      <c r="U8" s="9">
        <f t="shared" si="3"/>
        <v>3</v>
      </c>
      <c r="V8" s="9">
        <f aca="true" t="shared" si="15" ref="V8:V71">ROUND(O8/3+P8/2+IF(Q8&gt;-20,Q8,-20)/2+IF(R8&gt;-20,R8,-20)/3.5,0)</f>
        <v>-7</v>
      </c>
      <c r="W8" s="7">
        <v>120</v>
      </c>
      <c r="X8" s="7" t="s">
        <v>21</v>
      </c>
      <c r="Y8" s="30" t="s">
        <v>137</v>
      </c>
      <c r="Z8" s="7" t="s">
        <v>432</v>
      </c>
      <c r="AA8" s="7"/>
      <c r="AB8" s="7">
        <v>28</v>
      </c>
      <c r="AC8" s="7">
        <f t="shared" si="4"/>
        <v>20</v>
      </c>
      <c r="AD8" s="6">
        <f>VLOOKUP(G8,RoF,2,FALSE)</f>
        <v>1.4</v>
      </c>
      <c r="AE8" s="5">
        <v>4</v>
      </c>
      <c r="AF8" s="4">
        <f>AB8/(AD8*AE8)</f>
        <v>5</v>
      </c>
      <c r="AG8" s="4">
        <f>AC8/AD8*IF(H8="Y",raking,1)*IF(I8="Y",Pierce,1)*IF(J8="Y",Sustained,1)*IF(K8="Y",standard,1)*IF(L8="Y",Pulse,1)*IF(M8="Y",Flash,1)</f>
        <v>13.500000000000002</v>
      </c>
      <c r="AH8" s="4">
        <f>VLOOKUP(S8,FireControl,2)</f>
        <v>1</v>
      </c>
      <c r="AI8" s="4">
        <f>VLOOKUP(N8,Range,2,FALSE)</f>
        <v>1.55</v>
      </c>
      <c r="AJ8" s="4">
        <f>VLOOKUP(W8,Arc,2,FALSE)</f>
        <v>1</v>
      </c>
      <c r="AK8" s="4">
        <f>VLOOKUP(X8,Interceptable,2,FALSE)</f>
        <v>1.1</v>
      </c>
      <c r="AL8" s="4">
        <f>VLOOKUP(F8,Interceptability,2,FALSE)</f>
        <v>0</v>
      </c>
      <c r="AM8" s="5">
        <v>1</v>
      </c>
      <c r="AO8" s="4">
        <f>MAX(AG8*AH8*AI8*AJ8*AK8*AM8,AL8)+MIN(AG8*AH8*AI8*AJ8*AK8,AL8)/2</f>
        <v>23.017500000000005</v>
      </c>
      <c r="AP8" s="4"/>
    </row>
    <row r="9" spans="1:41" ht="12.75">
      <c r="A9" s="17" t="s">
        <v>434</v>
      </c>
      <c r="B9" s="2" t="s">
        <v>433</v>
      </c>
      <c r="C9" s="9">
        <f t="shared" si="14"/>
        <v>22.052250000000004</v>
      </c>
      <c r="D9" s="17" t="s">
        <v>22</v>
      </c>
      <c r="E9" s="3" t="s">
        <v>12</v>
      </c>
      <c r="F9" s="7">
        <v>0</v>
      </c>
      <c r="G9" s="3" t="s">
        <v>11</v>
      </c>
      <c r="H9" s="3" t="s">
        <v>2</v>
      </c>
      <c r="I9" s="3" t="s">
        <v>2</v>
      </c>
      <c r="J9" s="3"/>
      <c r="K9" s="3"/>
      <c r="L9" s="3"/>
      <c r="M9" s="3"/>
      <c r="N9" s="10" t="str">
        <f t="shared" si="0"/>
        <v>1/4</v>
      </c>
      <c r="O9" s="10">
        <v>4</v>
      </c>
      <c r="P9" s="10">
        <v>2</v>
      </c>
      <c r="Q9" s="10">
        <v>-8</v>
      </c>
      <c r="R9" s="10">
        <v>-21</v>
      </c>
      <c r="S9" s="9">
        <f t="shared" si="1"/>
        <v>0</v>
      </c>
      <c r="T9" s="9">
        <f t="shared" si="2"/>
        <v>2</v>
      </c>
      <c r="U9" s="9">
        <f t="shared" si="3"/>
        <v>3</v>
      </c>
      <c r="V9" s="9">
        <f t="shared" si="15"/>
        <v>-7</v>
      </c>
      <c r="W9" s="7">
        <v>60</v>
      </c>
      <c r="X9" s="7" t="s">
        <v>21</v>
      </c>
      <c r="Y9" s="30" t="s">
        <v>137</v>
      </c>
      <c r="Z9" s="7" t="s">
        <v>432</v>
      </c>
      <c r="AA9" s="7"/>
      <c r="AB9" s="7">
        <v>28</v>
      </c>
      <c r="AC9" s="7">
        <f t="shared" si="4"/>
        <v>20</v>
      </c>
      <c r="AD9" s="6">
        <f t="shared" si="5"/>
        <v>1.4</v>
      </c>
      <c r="AE9" s="5">
        <v>4</v>
      </c>
      <c r="AF9" s="4">
        <f t="shared" si="6"/>
        <v>5</v>
      </c>
      <c r="AG9" s="4">
        <f t="shared" si="7"/>
        <v>13.500000000000002</v>
      </c>
      <c r="AH9" s="4">
        <f t="shared" si="8"/>
        <v>1</v>
      </c>
      <c r="AI9" s="4">
        <f t="shared" si="9"/>
        <v>1.55</v>
      </c>
      <c r="AJ9" s="4">
        <f t="shared" si="10"/>
        <v>0.9</v>
      </c>
      <c r="AK9" s="4">
        <f t="shared" si="11"/>
        <v>1.1</v>
      </c>
      <c r="AL9" s="4">
        <f t="shared" si="12"/>
        <v>0</v>
      </c>
      <c r="AM9" s="5">
        <v>1</v>
      </c>
      <c r="AO9" s="4">
        <f t="shared" si="13"/>
        <v>20.715750000000003</v>
      </c>
    </row>
    <row r="10" spans="1:41" ht="12.75">
      <c r="A10" s="17" t="s">
        <v>431</v>
      </c>
      <c r="B10" s="2" t="s">
        <v>430</v>
      </c>
      <c r="C10" s="9">
        <f t="shared" si="14"/>
        <v>48.55149700598803</v>
      </c>
      <c r="D10" s="17" t="s">
        <v>22</v>
      </c>
      <c r="E10" s="3" t="s">
        <v>16</v>
      </c>
      <c r="F10" s="7">
        <v>0</v>
      </c>
      <c r="G10" s="3" t="s">
        <v>15</v>
      </c>
      <c r="H10" s="3" t="s">
        <v>2</v>
      </c>
      <c r="I10" s="3" t="s">
        <v>2</v>
      </c>
      <c r="J10" s="3"/>
      <c r="K10" s="3"/>
      <c r="L10" s="3"/>
      <c r="M10" s="3"/>
      <c r="N10" s="10" t="str">
        <f t="shared" si="0"/>
        <v>1/4</v>
      </c>
      <c r="O10" s="10">
        <v>3</v>
      </c>
      <c r="P10" s="10">
        <v>6</v>
      </c>
      <c r="Q10" s="10">
        <v>-2</v>
      </c>
      <c r="R10" s="10">
        <v>-10</v>
      </c>
      <c r="S10" s="9">
        <f t="shared" si="1"/>
        <v>1</v>
      </c>
      <c r="T10" s="9">
        <f t="shared" si="2"/>
        <v>2</v>
      </c>
      <c r="U10" s="9">
        <f t="shared" si="3"/>
        <v>2</v>
      </c>
      <c r="V10" s="9">
        <f t="shared" si="15"/>
        <v>0</v>
      </c>
      <c r="W10" s="7">
        <v>120</v>
      </c>
      <c r="X10" s="4" t="s">
        <v>21</v>
      </c>
      <c r="Y10" s="8" t="s">
        <v>429</v>
      </c>
      <c r="Z10" s="3" t="s">
        <v>980</v>
      </c>
      <c r="AB10" s="5">
        <v>47</v>
      </c>
      <c r="AC10" s="7">
        <f t="shared" si="4"/>
        <v>39</v>
      </c>
      <c r="AD10" s="6">
        <f t="shared" si="5"/>
        <v>1.67</v>
      </c>
      <c r="AE10" s="5">
        <v>6</v>
      </c>
      <c r="AF10" s="4">
        <f t="shared" si="6"/>
        <v>4.69061876247505</v>
      </c>
      <c r="AG10" s="4">
        <f t="shared" si="7"/>
        <v>22.068862275449103</v>
      </c>
      <c r="AH10" s="4">
        <f t="shared" si="8"/>
        <v>1.07</v>
      </c>
      <c r="AI10" s="4">
        <f t="shared" si="9"/>
        <v>1.55</v>
      </c>
      <c r="AJ10" s="4">
        <f t="shared" si="10"/>
        <v>1</v>
      </c>
      <c r="AK10" s="4">
        <f t="shared" si="11"/>
        <v>1.1</v>
      </c>
      <c r="AL10" s="4">
        <f t="shared" si="12"/>
        <v>0</v>
      </c>
      <c r="AM10" s="5">
        <v>1</v>
      </c>
      <c r="AO10" s="4">
        <f t="shared" si="13"/>
        <v>40.26132889221558</v>
      </c>
    </row>
    <row r="11" spans="1:41" ht="12.75">
      <c r="A11" s="17" t="s">
        <v>428</v>
      </c>
      <c r="B11" s="2" t="s">
        <v>427</v>
      </c>
      <c r="C11" s="9">
        <f t="shared" si="14"/>
        <v>54.77604790419162</v>
      </c>
      <c r="D11" s="17" t="s">
        <v>22</v>
      </c>
      <c r="E11" s="3" t="s">
        <v>16</v>
      </c>
      <c r="F11" s="7">
        <v>0</v>
      </c>
      <c r="G11" s="3" t="s">
        <v>15</v>
      </c>
      <c r="H11" s="3" t="s">
        <v>2</v>
      </c>
      <c r="I11" s="3" t="s">
        <v>2</v>
      </c>
      <c r="J11" s="3"/>
      <c r="K11" s="3"/>
      <c r="L11" s="3"/>
      <c r="M11" s="3"/>
      <c r="N11" s="10" t="str">
        <f t="shared" si="0"/>
        <v>1/4</v>
      </c>
      <c r="O11" s="10">
        <v>3</v>
      </c>
      <c r="P11" s="10">
        <v>6</v>
      </c>
      <c r="Q11" s="10">
        <v>-2</v>
      </c>
      <c r="R11" s="10">
        <v>-10</v>
      </c>
      <c r="S11" s="9">
        <f t="shared" si="1"/>
        <v>1</v>
      </c>
      <c r="T11" s="9">
        <f t="shared" si="2"/>
        <v>2</v>
      </c>
      <c r="U11" s="9">
        <f t="shared" si="3"/>
        <v>2</v>
      </c>
      <c r="V11" s="9">
        <f t="shared" si="15"/>
        <v>0</v>
      </c>
      <c r="W11" s="7">
        <v>120</v>
      </c>
      <c r="X11" s="4" t="s">
        <v>21</v>
      </c>
      <c r="Y11" s="8" t="s">
        <v>424</v>
      </c>
      <c r="Z11" s="3" t="s">
        <v>981</v>
      </c>
      <c r="AB11" s="5">
        <v>52</v>
      </c>
      <c r="AC11" s="7">
        <f t="shared" si="4"/>
        <v>44</v>
      </c>
      <c r="AD11" s="6">
        <f t="shared" si="5"/>
        <v>1.67</v>
      </c>
      <c r="AE11" s="5">
        <v>7</v>
      </c>
      <c r="AF11" s="4">
        <f t="shared" si="6"/>
        <v>4.448246364414029</v>
      </c>
      <c r="AG11" s="4">
        <f t="shared" si="7"/>
        <v>24.898203592814372</v>
      </c>
      <c r="AH11" s="4">
        <f t="shared" si="8"/>
        <v>1.07</v>
      </c>
      <c r="AI11" s="4">
        <f t="shared" si="9"/>
        <v>1.55</v>
      </c>
      <c r="AJ11" s="4">
        <f t="shared" si="10"/>
        <v>1</v>
      </c>
      <c r="AK11" s="4">
        <f t="shared" si="11"/>
        <v>1.1</v>
      </c>
      <c r="AL11" s="4">
        <f t="shared" si="12"/>
        <v>0</v>
      </c>
      <c r="AM11" s="5">
        <v>1</v>
      </c>
      <c r="AO11" s="4">
        <f t="shared" si="13"/>
        <v>45.4230377245509</v>
      </c>
    </row>
    <row r="12" spans="1:41" ht="12.75">
      <c r="A12" s="17" t="s">
        <v>426</v>
      </c>
      <c r="B12" s="2" t="s">
        <v>425</v>
      </c>
      <c r="C12" s="9">
        <f t="shared" si="14"/>
        <v>49.29844311377246</v>
      </c>
      <c r="D12" s="17" t="s">
        <v>22</v>
      </c>
      <c r="E12" s="3" t="s">
        <v>16</v>
      </c>
      <c r="F12" s="7">
        <v>0</v>
      </c>
      <c r="G12" s="3" t="s">
        <v>15</v>
      </c>
      <c r="H12" s="3" t="s">
        <v>2</v>
      </c>
      <c r="I12" s="3" t="s">
        <v>2</v>
      </c>
      <c r="J12" s="3"/>
      <c r="K12" s="3"/>
      <c r="L12" s="3"/>
      <c r="M12" s="3"/>
      <c r="N12" s="10" t="str">
        <f t="shared" si="0"/>
        <v>1/4</v>
      </c>
      <c r="O12" s="10">
        <v>3</v>
      </c>
      <c r="P12" s="10">
        <v>6</v>
      </c>
      <c r="Q12" s="10">
        <v>-2</v>
      </c>
      <c r="R12" s="10">
        <v>-10</v>
      </c>
      <c r="S12" s="9">
        <f t="shared" si="1"/>
        <v>1</v>
      </c>
      <c r="T12" s="9">
        <f t="shared" si="2"/>
        <v>2</v>
      </c>
      <c r="U12" s="9">
        <f t="shared" si="3"/>
        <v>2</v>
      </c>
      <c r="V12" s="9">
        <f t="shared" si="15"/>
        <v>0</v>
      </c>
      <c r="W12" s="7">
        <v>60</v>
      </c>
      <c r="X12" s="4" t="s">
        <v>21</v>
      </c>
      <c r="Y12" s="8" t="s">
        <v>424</v>
      </c>
      <c r="Z12" s="3" t="s">
        <v>981</v>
      </c>
      <c r="AB12" s="5">
        <v>52</v>
      </c>
      <c r="AC12" s="7">
        <f t="shared" si="4"/>
        <v>44</v>
      </c>
      <c r="AD12" s="6">
        <f t="shared" si="5"/>
        <v>1.67</v>
      </c>
      <c r="AE12" s="5">
        <v>7</v>
      </c>
      <c r="AF12" s="4">
        <f t="shared" si="6"/>
        <v>4.448246364414029</v>
      </c>
      <c r="AG12" s="4">
        <f t="shared" si="7"/>
        <v>24.898203592814372</v>
      </c>
      <c r="AH12" s="4">
        <f t="shared" si="8"/>
        <v>1.07</v>
      </c>
      <c r="AI12" s="4">
        <f t="shared" si="9"/>
        <v>1.55</v>
      </c>
      <c r="AJ12" s="4">
        <f t="shared" si="10"/>
        <v>0.9</v>
      </c>
      <c r="AK12" s="4">
        <f t="shared" si="11"/>
        <v>1.1</v>
      </c>
      <c r="AL12" s="4">
        <f t="shared" si="12"/>
        <v>0</v>
      </c>
      <c r="AM12" s="5">
        <v>1</v>
      </c>
      <c r="AO12" s="4">
        <f t="shared" si="13"/>
        <v>40.88073395209581</v>
      </c>
    </row>
    <row r="13" spans="1:41" ht="12.75">
      <c r="A13" s="17" t="s">
        <v>423</v>
      </c>
      <c r="B13" s="2" t="s">
        <v>422</v>
      </c>
      <c r="C13" s="9">
        <f t="shared" si="14"/>
        <v>28.274400000000004</v>
      </c>
      <c r="D13" s="17" t="s">
        <v>22</v>
      </c>
      <c r="E13" s="3" t="s">
        <v>16</v>
      </c>
      <c r="F13" s="7">
        <v>0</v>
      </c>
      <c r="G13" s="3" t="s">
        <v>212</v>
      </c>
      <c r="H13" s="3" t="s">
        <v>2</v>
      </c>
      <c r="I13" s="3" t="s">
        <v>2</v>
      </c>
      <c r="J13" s="3"/>
      <c r="K13" s="3"/>
      <c r="L13" s="3"/>
      <c r="M13" s="3"/>
      <c r="N13" s="10" t="str">
        <f t="shared" si="0"/>
        <v>1/4</v>
      </c>
      <c r="O13" s="10">
        <v>3</v>
      </c>
      <c r="P13" s="10">
        <v>6</v>
      </c>
      <c r="Q13" s="10">
        <v>-2</v>
      </c>
      <c r="R13" s="10">
        <v>-10</v>
      </c>
      <c r="S13" s="9">
        <f t="shared" si="1"/>
        <v>1</v>
      </c>
      <c r="T13" s="9">
        <f t="shared" si="2"/>
        <v>2</v>
      </c>
      <c r="U13" s="9">
        <f t="shared" si="3"/>
        <v>2</v>
      </c>
      <c r="V13" s="9">
        <f t="shared" si="15"/>
        <v>0</v>
      </c>
      <c r="W13" s="7">
        <v>120</v>
      </c>
      <c r="X13" s="4" t="s">
        <v>21</v>
      </c>
      <c r="Y13" s="8" t="s">
        <v>417</v>
      </c>
      <c r="Z13" s="3" t="str">
        <f aca="true" t="shared" si="16" ref="Z13:Z20">Y13</f>
        <v>4d10+20</v>
      </c>
      <c r="AB13" s="5">
        <v>42</v>
      </c>
      <c r="AC13" s="7">
        <f t="shared" si="4"/>
        <v>34</v>
      </c>
      <c r="AD13" s="6">
        <f t="shared" si="5"/>
        <v>2.5</v>
      </c>
      <c r="AE13" s="5">
        <v>6</v>
      </c>
      <c r="AF13" s="4">
        <f t="shared" si="6"/>
        <v>2.8</v>
      </c>
      <c r="AG13" s="4">
        <f t="shared" si="7"/>
        <v>12.852</v>
      </c>
      <c r="AH13" s="4">
        <f t="shared" si="8"/>
        <v>1.07</v>
      </c>
      <c r="AI13" s="4">
        <f t="shared" si="9"/>
        <v>1.55</v>
      </c>
      <c r="AJ13" s="4">
        <f t="shared" si="10"/>
        <v>1</v>
      </c>
      <c r="AK13" s="4">
        <f t="shared" si="11"/>
        <v>1.1</v>
      </c>
      <c r="AL13" s="4">
        <f t="shared" si="12"/>
        <v>0</v>
      </c>
      <c r="AM13" s="5">
        <v>1</v>
      </c>
      <c r="AO13" s="4">
        <f t="shared" si="13"/>
        <v>23.446546200000004</v>
      </c>
    </row>
    <row r="14" spans="1:41" ht="12.75">
      <c r="A14" s="17" t="s">
        <v>421</v>
      </c>
      <c r="B14" s="2" t="s">
        <v>420</v>
      </c>
      <c r="C14" s="9">
        <f t="shared" si="14"/>
        <v>26.860680000000002</v>
      </c>
      <c r="D14" s="17" t="s">
        <v>22</v>
      </c>
      <c r="E14" s="3" t="s">
        <v>16</v>
      </c>
      <c r="F14" s="7">
        <v>0</v>
      </c>
      <c r="G14" s="3" t="s">
        <v>212</v>
      </c>
      <c r="H14" s="3" t="s">
        <v>2</v>
      </c>
      <c r="I14" s="3" t="s">
        <v>2</v>
      </c>
      <c r="J14" s="3"/>
      <c r="K14" s="3"/>
      <c r="L14" s="3"/>
      <c r="M14" s="3"/>
      <c r="N14" s="10" t="str">
        <f t="shared" si="0"/>
        <v>1/4</v>
      </c>
      <c r="O14" s="10">
        <v>3</v>
      </c>
      <c r="P14" s="10">
        <v>6</v>
      </c>
      <c r="Q14" s="10">
        <v>-2</v>
      </c>
      <c r="R14" s="10">
        <v>-10</v>
      </c>
      <c r="S14" s="9">
        <f t="shared" si="1"/>
        <v>1</v>
      </c>
      <c r="T14" s="9">
        <f t="shared" si="2"/>
        <v>2</v>
      </c>
      <c r="U14" s="9">
        <f t="shared" si="3"/>
        <v>2</v>
      </c>
      <c r="V14" s="9">
        <f t="shared" si="15"/>
        <v>0</v>
      </c>
      <c r="W14" s="7">
        <v>90</v>
      </c>
      <c r="X14" s="4" t="s">
        <v>21</v>
      </c>
      <c r="Y14" s="8" t="s">
        <v>417</v>
      </c>
      <c r="Z14" s="3" t="str">
        <f t="shared" si="16"/>
        <v>4d10+20</v>
      </c>
      <c r="AB14" s="5">
        <v>42</v>
      </c>
      <c r="AC14" s="7">
        <f t="shared" si="4"/>
        <v>34</v>
      </c>
      <c r="AD14" s="6">
        <f t="shared" si="5"/>
        <v>2.5</v>
      </c>
      <c r="AE14" s="5">
        <v>6</v>
      </c>
      <c r="AF14" s="4">
        <f t="shared" si="6"/>
        <v>2.8</v>
      </c>
      <c r="AG14" s="4">
        <f t="shared" si="7"/>
        <v>12.852</v>
      </c>
      <c r="AH14" s="4">
        <f t="shared" si="8"/>
        <v>1.07</v>
      </c>
      <c r="AI14" s="4">
        <f t="shared" si="9"/>
        <v>1.55</v>
      </c>
      <c r="AJ14" s="4">
        <f t="shared" si="10"/>
        <v>0.95</v>
      </c>
      <c r="AK14" s="4">
        <f t="shared" si="11"/>
        <v>1.1</v>
      </c>
      <c r="AL14" s="4">
        <f t="shared" si="12"/>
        <v>0</v>
      </c>
      <c r="AM14" s="5">
        <v>1</v>
      </c>
      <c r="AO14" s="4">
        <f t="shared" si="13"/>
        <v>22.274218890000004</v>
      </c>
    </row>
    <row r="15" spans="1:41" ht="12.75">
      <c r="A15" s="17" t="s">
        <v>419</v>
      </c>
      <c r="B15" s="2" t="s">
        <v>418</v>
      </c>
      <c r="C15" s="9">
        <f t="shared" si="14"/>
        <v>25.446960000000004</v>
      </c>
      <c r="D15" s="17" t="s">
        <v>22</v>
      </c>
      <c r="E15" s="3" t="s">
        <v>16</v>
      </c>
      <c r="F15" s="7">
        <v>0</v>
      </c>
      <c r="G15" s="3" t="s">
        <v>212</v>
      </c>
      <c r="H15" s="3" t="s">
        <v>2</v>
      </c>
      <c r="I15" s="3" t="s">
        <v>2</v>
      </c>
      <c r="J15" s="3"/>
      <c r="K15" s="3"/>
      <c r="L15" s="3"/>
      <c r="M15" s="3"/>
      <c r="N15" s="10" t="str">
        <f t="shared" si="0"/>
        <v>1/4</v>
      </c>
      <c r="O15" s="10">
        <v>3</v>
      </c>
      <c r="P15" s="10">
        <v>6</v>
      </c>
      <c r="Q15" s="10">
        <v>-2</v>
      </c>
      <c r="R15" s="10">
        <v>-10</v>
      </c>
      <c r="S15" s="9">
        <f t="shared" si="1"/>
        <v>1</v>
      </c>
      <c r="T15" s="9">
        <f t="shared" si="2"/>
        <v>2</v>
      </c>
      <c r="U15" s="9">
        <f t="shared" si="3"/>
        <v>2</v>
      </c>
      <c r="V15" s="9">
        <f t="shared" si="15"/>
        <v>0</v>
      </c>
      <c r="W15" s="7">
        <v>60</v>
      </c>
      <c r="X15" s="4" t="s">
        <v>21</v>
      </c>
      <c r="Y15" s="8" t="s">
        <v>417</v>
      </c>
      <c r="Z15" s="3" t="str">
        <f t="shared" si="16"/>
        <v>4d10+20</v>
      </c>
      <c r="AB15" s="5">
        <v>42</v>
      </c>
      <c r="AC15" s="7">
        <f t="shared" si="4"/>
        <v>34</v>
      </c>
      <c r="AD15" s="6">
        <f t="shared" si="5"/>
        <v>2.5</v>
      </c>
      <c r="AE15" s="5">
        <v>6</v>
      </c>
      <c r="AF15" s="4">
        <f t="shared" si="6"/>
        <v>2.8</v>
      </c>
      <c r="AG15" s="4">
        <f t="shared" si="7"/>
        <v>12.852</v>
      </c>
      <c r="AH15" s="4">
        <f t="shared" si="8"/>
        <v>1.07</v>
      </c>
      <c r="AI15" s="4">
        <f t="shared" si="9"/>
        <v>1.55</v>
      </c>
      <c r="AJ15" s="4">
        <f t="shared" si="10"/>
        <v>0.9</v>
      </c>
      <c r="AK15" s="4">
        <f t="shared" si="11"/>
        <v>1.1</v>
      </c>
      <c r="AL15" s="4">
        <f t="shared" si="12"/>
        <v>0</v>
      </c>
      <c r="AM15" s="5">
        <v>1</v>
      </c>
      <c r="AO15" s="4">
        <f t="shared" si="13"/>
        <v>21.101891580000004</v>
      </c>
    </row>
    <row r="16" spans="1:41" ht="12.75">
      <c r="A16" s="17" t="s">
        <v>416</v>
      </c>
      <c r="B16" s="2" t="s">
        <v>415</v>
      </c>
      <c r="C16" s="9">
        <f t="shared" si="14"/>
        <v>32.36766467065869</v>
      </c>
      <c r="D16" s="17" t="s">
        <v>22</v>
      </c>
      <c r="E16" s="3" t="s">
        <v>16</v>
      </c>
      <c r="F16" s="7">
        <v>0</v>
      </c>
      <c r="G16" s="3" t="s">
        <v>15</v>
      </c>
      <c r="H16" s="3" t="s">
        <v>2</v>
      </c>
      <c r="I16" s="3" t="s">
        <v>2</v>
      </c>
      <c r="J16" s="3"/>
      <c r="K16" s="3"/>
      <c r="L16" s="3"/>
      <c r="M16" s="3"/>
      <c r="N16" s="10" t="str">
        <f t="shared" si="0"/>
        <v>1/4</v>
      </c>
      <c r="O16" s="10">
        <v>3</v>
      </c>
      <c r="P16" s="10">
        <v>6</v>
      </c>
      <c r="Q16" s="10">
        <v>-2</v>
      </c>
      <c r="R16" s="10">
        <v>-10</v>
      </c>
      <c r="S16" s="9">
        <f t="shared" si="1"/>
        <v>1</v>
      </c>
      <c r="T16" s="9">
        <f t="shared" si="2"/>
        <v>2</v>
      </c>
      <c r="U16" s="9">
        <f t="shared" si="3"/>
        <v>2</v>
      </c>
      <c r="V16" s="9">
        <f t="shared" si="15"/>
        <v>0</v>
      </c>
      <c r="W16" s="7">
        <v>120</v>
      </c>
      <c r="X16" s="4" t="s">
        <v>21</v>
      </c>
      <c r="Y16" s="8" t="s">
        <v>414</v>
      </c>
      <c r="Z16" s="3" t="str">
        <f t="shared" si="16"/>
        <v>4d10+12</v>
      </c>
      <c r="AB16" s="5">
        <v>34</v>
      </c>
      <c r="AC16" s="7">
        <f t="shared" si="4"/>
        <v>26</v>
      </c>
      <c r="AD16" s="6">
        <f t="shared" si="5"/>
        <v>1.67</v>
      </c>
      <c r="AE16" s="5">
        <v>6</v>
      </c>
      <c r="AF16" s="4">
        <f t="shared" si="6"/>
        <v>3.3932135728542914</v>
      </c>
      <c r="AG16" s="4">
        <f t="shared" si="7"/>
        <v>14.712574850299404</v>
      </c>
      <c r="AH16" s="4">
        <f t="shared" si="8"/>
        <v>1.07</v>
      </c>
      <c r="AI16" s="4">
        <f t="shared" si="9"/>
        <v>1.55</v>
      </c>
      <c r="AJ16" s="4">
        <f t="shared" si="10"/>
        <v>1</v>
      </c>
      <c r="AK16" s="4">
        <f t="shared" si="11"/>
        <v>1.1</v>
      </c>
      <c r="AL16" s="4">
        <f t="shared" si="12"/>
        <v>0</v>
      </c>
      <c r="AM16" s="5">
        <v>1</v>
      </c>
      <c r="AO16" s="4">
        <f t="shared" si="13"/>
        <v>26.840885928143724</v>
      </c>
    </row>
    <row r="17" spans="1:41" ht="12.75">
      <c r="A17" s="17" t="s">
        <v>412</v>
      </c>
      <c r="B17" s="2" t="s">
        <v>413</v>
      </c>
      <c r="C17" s="9">
        <f t="shared" si="14"/>
        <v>21.568068862275457</v>
      </c>
      <c r="D17" s="17" t="s">
        <v>22</v>
      </c>
      <c r="E17" s="3" t="s">
        <v>12</v>
      </c>
      <c r="F17" s="7">
        <v>0</v>
      </c>
      <c r="G17" s="3" t="s">
        <v>15</v>
      </c>
      <c r="H17" s="3" t="s">
        <v>2</v>
      </c>
      <c r="I17" s="3" t="s">
        <v>2</v>
      </c>
      <c r="J17" s="3"/>
      <c r="K17" s="3"/>
      <c r="L17" s="3"/>
      <c r="M17" s="3"/>
      <c r="N17" s="10" t="str">
        <f t="shared" si="0"/>
        <v>1/4</v>
      </c>
      <c r="O17" s="10">
        <v>4</v>
      </c>
      <c r="P17" s="10">
        <v>2</v>
      </c>
      <c r="Q17" s="10">
        <v>-8</v>
      </c>
      <c r="R17" s="10">
        <v>-21</v>
      </c>
      <c r="S17" s="9">
        <f t="shared" si="1"/>
        <v>0</v>
      </c>
      <c r="T17" s="9">
        <f t="shared" si="2"/>
        <v>2</v>
      </c>
      <c r="U17" s="9">
        <f t="shared" si="3"/>
        <v>3</v>
      </c>
      <c r="V17" s="9">
        <f t="shared" si="15"/>
        <v>-7</v>
      </c>
      <c r="W17" s="7">
        <v>120</v>
      </c>
      <c r="X17" s="4" t="s">
        <v>21</v>
      </c>
      <c r="Y17" s="8" t="s">
        <v>410</v>
      </c>
      <c r="Z17" s="3" t="str">
        <f t="shared" si="16"/>
        <v>3d10+12</v>
      </c>
      <c r="AB17" s="5">
        <v>29</v>
      </c>
      <c r="AC17" s="7">
        <f t="shared" si="4"/>
        <v>21</v>
      </c>
      <c r="AD17" s="6">
        <f t="shared" si="5"/>
        <v>1.67</v>
      </c>
      <c r="AE17" s="5">
        <v>5</v>
      </c>
      <c r="AF17" s="4">
        <f t="shared" si="6"/>
        <v>3.473053892215569</v>
      </c>
      <c r="AG17" s="4">
        <f t="shared" si="7"/>
        <v>11.883233532934135</v>
      </c>
      <c r="AH17" s="4">
        <f t="shared" si="8"/>
        <v>1</v>
      </c>
      <c r="AI17" s="4">
        <f t="shared" si="9"/>
        <v>1.55</v>
      </c>
      <c r="AJ17" s="4">
        <f t="shared" si="10"/>
        <v>1</v>
      </c>
      <c r="AK17" s="4">
        <f t="shared" si="11"/>
        <v>1.1</v>
      </c>
      <c r="AL17" s="4">
        <f t="shared" si="12"/>
        <v>0</v>
      </c>
      <c r="AM17" s="5">
        <v>1</v>
      </c>
      <c r="AO17" s="4">
        <f t="shared" si="13"/>
        <v>20.2609131736527</v>
      </c>
    </row>
    <row r="18" spans="1:41" ht="12.75">
      <c r="A18" s="17" t="s">
        <v>412</v>
      </c>
      <c r="B18" s="2" t="s">
        <v>411</v>
      </c>
      <c r="C18" s="9">
        <f t="shared" si="14"/>
        <v>23.724875748503003</v>
      </c>
      <c r="D18" s="17" t="s">
        <v>22</v>
      </c>
      <c r="E18" s="3" t="s">
        <v>12</v>
      </c>
      <c r="F18" s="7">
        <v>0</v>
      </c>
      <c r="G18" s="3" t="s">
        <v>15</v>
      </c>
      <c r="H18" s="3" t="s">
        <v>2</v>
      </c>
      <c r="I18" s="3" t="s">
        <v>2</v>
      </c>
      <c r="J18" s="3"/>
      <c r="K18" s="3"/>
      <c r="L18" s="3"/>
      <c r="M18" s="3"/>
      <c r="N18" s="10" t="str">
        <f t="shared" si="0"/>
        <v>1/4</v>
      </c>
      <c r="O18" s="10">
        <v>4</v>
      </c>
      <c r="P18" s="10">
        <v>2</v>
      </c>
      <c r="Q18" s="10">
        <v>-8</v>
      </c>
      <c r="R18" s="10">
        <v>-21</v>
      </c>
      <c r="S18" s="9">
        <f t="shared" si="1"/>
        <v>0</v>
      </c>
      <c r="T18" s="9">
        <f t="shared" si="2"/>
        <v>2</v>
      </c>
      <c r="U18" s="9">
        <f t="shared" si="3"/>
        <v>3</v>
      </c>
      <c r="V18" s="9">
        <f t="shared" si="15"/>
        <v>-7</v>
      </c>
      <c r="W18" s="7">
        <v>180</v>
      </c>
      <c r="X18" s="4" t="s">
        <v>21</v>
      </c>
      <c r="Y18" s="8" t="s">
        <v>410</v>
      </c>
      <c r="Z18" s="3" t="str">
        <f t="shared" si="16"/>
        <v>3d10+12</v>
      </c>
      <c r="AB18" s="5">
        <v>29</v>
      </c>
      <c r="AC18" s="7">
        <f t="shared" si="4"/>
        <v>21</v>
      </c>
      <c r="AD18" s="6">
        <f t="shared" si="5"/>
        <v>1.67</v>
      </c>
      <c r="AE18" s="5">
        <v>5</v>
      </c>
      <c r="AF18" s="4">
        <f t="shared" si="6"/>
        <v>3.473053892215569</v>
      </c>
      <c r="AG18" s="4">
        <f t="shared" si="7"/>
        <v>11.883233532934135</v>
      </c>
      <c r="AH18" s="4">
        <f t="shared" si="8"/>
        <v>1</v>
      </c>
      <c r="AI18" s="4">
        <f t="shared" si="9"/>
        <v>1.55</v>
      </c>
      <c r="AJ18" s="4">
        <f t="shared" si="10"/>
        <v>1.1</v>
      </c>
      <c r="AK18" s="4">
        <f t="shared" si="11"/>
        <v>1.1</v>
      </c>
      <c r="AL18" s="4">
        <f t="shared" si="12"/>
        <v>0</v>
      </c>
      <c r="AM18" s="5">
        <v>1</v>
      </c>
      <c r="AO18" s="4">
        <f t="shared" si="13"/>
        <v>22.28700449101797</v>
      </c>
    </row>
    <row r="19" spans="1:41" ht="12.75">
      <c r="A19" s="17" t="s">
        <v>412</v>
      </c>
      <c r="B19" s="2" t="s">
        <v>904</v>
      </c>
      <c r="C19" s="9">
        <f t="shared" si="14"/>
        <v>19.41126197604791</v>
      </c>
      <c r="D19" s="17" t="s">
        <v>22</v>
      </c>
      <c r="E19" s="3" t="s">
        <v>12</v>
      </c>
      <c r="F19" s="7">
        <v>0</v>
      </c>
      <c r="G19" s="3" t="s">
        <v>15</v>
      </c>
      <c r="H19" s="3" t="s">
        <v>2</v>
      </c>
      <c r="I19" s="3" t="s">
        <v>2</v>
      </c>
      <c r="J19" s="3"/>
      <c r="K19" s="3"/>
      <c r="L19" s="3"/>
      <c r="M19" s="3"/>
      <c r="N19" s="10" t="str">
        <f>VLOOKUP(D19,Weapon_range,(VLOOKUP(E19,weapon_size_col,2,FALSE)),FALSE)</f>
        <v>1/4</v>
      </c>
      <c r="O19" s="10">
        <v>4</v>
      </c>
      <c r="P19" s="10">
        <v>2</v>
      </c>
      <c r="Q19" s="10">
        <v>-8</v>
      </c>
      <c r="R19" s="10">
        <v>-21</v>
      </c>
      <c r="S19" s="9">
        <f t="shared" si="1"/>
        <v>0</v>
      </c>
      <c r="T19" s="9">
        <f t="shared" si="2"/>
        <v>2</v>
      </c>
      <c r="U19" s="9">
        <f t="shared" si="3"/>
        <v>3</v>
      </c>
      <c r="V19" s="9">
        <f t="shared" si="15"/>
        <v>-7</v>
      </c>
      <c r="W19" s="7">
        <v>60</v>
      </c>
      <c r="X19" s="4" t="s">
        <v>21</v>
      </c>
      <c r="Y19" s="8" t="s">
        <v>410</v>
      </c>
      <c r="Z19" s="3" t="str">
        <f t="shared" si="16"/>
        <v>3d10+12</v>
      </c>
      <c r="AB19" s="5">
        <v>29</v>
      </c>
      <c r="AC19" s="7">
        <f t="shared" si="4"/>
        <v>21</v>
      </c>
      <c r="AD19" s="6">
        <f>VLOOKUP(G19,RoF,2,FALSE)</f>
        <v>1.67</v>
      </c>
      <c r="AE19" s="5">
        <v>5</v>
      </c>
      <c r="AF19" s="4">
        <f>AB19/(AD19*AE19)</f>
        <v>3.473053892215569</v>
      </c>
      <c r="AG19" s="4">
        <f>AC19/AD19*IF(H19="Y",raking,1)*IF(I19="Y",Pierce,1)*IF(J19="Y",Sustained,1)*IF(K19="Y",standard,1)*IF(L19="Y",Pulse,1)*IF(M19="Y",Flash,1)</f>
        <v>11.883233532934135</v>
      </c>
      <c r="AH19" s="4">
        <f>VLOOKUP(S19,FireControl,2)</f>
        <v>1</v>
      </c>
      <c r="AI19" s="4">
        <f>VLOOKUP(N19,Range,2,FALSE)</f>
        <v>1.55</v>
      </c>
      <c r="AJ19" s="4">
        <f>VLOOKUP(W19,Arc,2,FALSE)</f>
        <v>0.9</v>
      </c>
      <c r="AK19" s="4">
        <f>VLOOKUP(X19,Interceptable,2,FALSE)</f>
        <v>1.1</v>
      </c>
      <c r="AL19" s="4">
        <f>VLOOKUP(F19,Interceptability,2,FALSE)</f>
        <v>0</v>
      </c>
      <c r="AM19" s="5">
        <v>1</v>
      </c>
      <c r="AO19" s="4">
        <f t="shared" si="13"/>
        <v>18.234821856287432</v>
      </c>
    </row>
    <row r="20" spans="1:41" ht="12.75">
      <c r="A20" s="17" t="s">
        <v>409</v>
      </c>
      <c r="B20" s="2" t="s">
        <v>408</v>
      </c>
      <c r="C20" s="9">
        <f t="shared" si="14"/>
        <v>10.766250000000001</v>
      </c>
      <c r="D20" s="17" t="s">
        <v>22</v>
      </c>
      <c r="E20" s="3" t="s">
        <v>8</v>
      </c>
      <c r="F20" s="7">
        <v>0</v>
      </c>
      <c r="G20" s="3" t="s">
        <v>11</v>
      </c>
      <c r="H20" s="3" t="s">
        <v>2</v>
      </c>
      <c r="I20" s="3" t="s">
        <v>2</v>
      </c>
      <c r="J20" s="3"/>
      <c r="K20" s="3"/>
      <c r="L20" s="3"/>
      <c r="M20" s="3"/>
      <c r="N20" s="10" t="str">
        <f t="shared" si="0"/>
        <v>1/4</v>
      </c>
      <c r="O20" s="10">
        <v>7</v>
      </c>
      <c r="P20" s="10">
        <v>-1</v>
      </c>
      <c r="Q20" s="10">
        <v>-15</v>
      </c>
      <c r="R20" s="10">
        <v>-35</v>
      </c>
      <c r="S20" s="9">
        <f t="shared" si="1"/>
        <v>0</v>
      </c>
      <c r="T20" s="9">
        <f t="shared" si="2"/>
        <v>3</v>
      </c>
      <c r="U20" s="9">
        <f t="shared" si="3"/>
        <v>5</v>
      </c>
      <c r="V20" s="9">
        <f t="shared" si="15"/>
        <v>-11</v>
      </c>
      <c r="W20" s="7">
        <v>120</v>
      </c>
      <c r="X20" s="4" t="s">
        <v>21</v>
      </c>
      <c r="Y20" s="8" t="s">
        <v>407</v>
      </c>
      <c r="Z20" s="3" t="str">
        <f t="shared" si="16"/>
        <v>2d10+7</v>
      </c>
      <c r="AB20" s="5">
        <v>18</v>
      </c>
      <c r="AC20" s="7">
        <f t="shared" si="4"/>
        <v>10</v>
      </c>
      <c r="AD20" s="6">
        <f t="shared" si="5"/>
        <v>1.4</v>
      </c>
      <c r="AE20" s="5">
        <v>3</v>
      </c>
      <c r="AF20" s="4">
        <f t="shared" si="6"/>
        <v>4.2857142857142865</v>
      </c>
      <c r="AG20" s="4">
        <f t="shared" si="7"/>
        <v>6.750000000000001</v>
      </c>
      <c r="AH20" s="4">
        <f>VLOOKUP(U20,FireControl,2)</f>
        <v>1.4</v>
      </c>
      <c r="AI20" s="4">
        <f t="shared" si="9"/>
        <v>1.55</v>
      </c>
      <c r="AJ20" s="4">
        <f t="shared" si="10"/>
        <v>1</v>
      </c>
      <c r="AK20" s="4">
        <f t="shared" si="11"/>
        <v>1.1</v>
      </c>
      <c r="AL20" s="4">
        <f t="shared" si="12"/>
        <v>0</v>
      </c>
      <c r="AM20" s="5">
        <v>1</v>
      </c>
      <c r="AO20" s="4">
        <f t="shared" si="13"/>
        <v>16.112250000000003</v>
      </c>
    </row>
    <row r="21" spans="1:41" ht="12.75">
      <c r="A21" s="17" t="s">
        <v>406</v>
      </c>
      <c r="B21" s="12" t="s">
        <v>405</v>
      </c>
      <c r="C21" s="9">
        <f t="shared" si="14"/>
        <v>33.19760479041917</v>
      </c>
      <c r="D21" s="17" t="s">
        <v>22</v>
      </c>
      <c r="E21" s="3" t="s">
        <v>16</v>
      </c>
      <c r="F21" s="7">
        <v>0</v>
      </c>
      <c r="G21" s="3" t="s">
        <v>15</v>
      </c>
      <c r="H21" s="3"/>
      <c r="I21" s="3" t="s">
        <v>2</v>
      </c>
      <c r="J21" s="3"/>
      <c r="K21" s="3"/>
      <c r="L21" s="3"/>
      <c r="M21" s="3"/>
      <c r="N21" s="10" t="str">
        <f t="shared" si="0"/>
        <v>1/4</v>
      </c>
      <c r="O21" s="10">
        <v>3</v>
      </c>
      <c r="P21" s="10">
        <v>6</v>
      </c>
      <c r="Q21" s="10">
        <v>-2</v>
      </c>
      <c r="R21" s="10">
        <v>-10</v>
      </c>
      <c r="S21" s="9">
        <f t="shared" si="1"/>
        <v>1</v>
      </c>
      <c r="T21" s="9">
        <f t="shared" si="2"/>
        <v>2</v>
      </c>
      <c r="U21" s="9">
        <f t="shared" si="3"/>
        <v>2</v>
      </c>
      <c r="V21" s="9">
        <f t="shared" si="15"/>
        <v>0</v>
      </c>
      <c r="W21" s="7">
        <v>120</v>
      </c>
      <c r="X21" s="4" t="s">
        <v>21</v>
      </c>
      <c r="Y21" s="8"/>
      <c r="Z21" s="5" t="s">
        <v>404</v>
      </c>
      <c r="AB21" s="5">
        <v>32</v>
      </c>
      <c r="AC21" s="7">
        <f t="shared" si="4"/>
        <v>24</v>
      </c>
      <c r="AD21" s="6">
        <f t="shared" si="5"/>
        <v>1.67</v>
      </c>
      <c r="AE21" s="5"/>
      <c r="AF21" s="4"/>
      <c r="AG21" s="4">
        <f t="shared" si="7"/>
        <v>15.08982035928144</v>
      </c>
      <c r="AH21" s="4">
        <f>VLOOKUP(S21,FireControl,2)</f>
        <v>1.07</v>
      </c>
      <c r="AI21" s="4">
        <f t="shared" si="9"/>
        <v>1.55</v>
      </c>
      <c r="AJ21" s="4">
        <f t="shared" si="10"/>
        <v>1</v>
      </c>
      <c r="AK21" s="4">
        <f t="shared" si="11"/>
        <v>1.1</v>
      </c>
      <c r="AL21" s="4">
        <f t="shared" si="12"/>
        <v>0</v>
      </c>
      <c r="AM21" s="5">
        <v>1</v>
      </c>
      <c r="AO21" s="4">
        <f t="shared" si="13"/>
        <v>27.5291137724551</v>
      </c>
    </row>
    <row r="22" spans="1:41" ht="12.75">
      <c r="A22" s="17"/>
      <c r="B22" s="12"/>
      <c r="C22" s="9">
        <f t="shared" si="14"/>
        <v>0</v>
      </c>
      <c r="D22" s="17"/>
      <c r="E22" s="3"/>
      <c r="F22" s="7"/>
      <c r="G22" s="3"/>
      <c r="H22" s="3"/>
      <c r="I22" s="3"/>
      <c r="J22" s="3"/>
      <c r="K22" s="3"/>
      <c r="L22" s="3"/>
      <c r="M22" s="3"/>
      <c r="N22" s="10"/>
      <c r="O22" s="10"/>
      <c r="P22" s="10"/>
      <c r="Q22" s="10"/>
      <c r="R22" s="10"/>
      <c r="S22" s="9"/>
      <c r="T22" s="9"/>
      <c r="U22" s="9"/>
      <c r="V22" s="9">
        <f t="shared" si="15"/>
        <v>0</v>
      </c>
      <c r="W22" s="7"/>
      <c r="X22" s="4"/>
      <c r="Y22" s="8"/>
      <c r="Z22" s="5"/>
      <c r="AB22" s="5"/>
      <c r="AC22" s="7"/>
      <c r="AD22" s="6"/>
      <c r="AE22" s="5"/>
      <c r="AF22" s="4"/>
      <c r="AG22" s="4"/>
      <c r="AH22" s="4"/>
      <c r="AI22" s="4"/>
      <c r="AJ22" s="4"/>
      <c r="AK22" s="4"/>
      <c r="AL22" s="4"/>
      <c r="AO22" s="4"/>
    </row>
    <row r="23" spans="1:41" ht="12.75">
      <c r="A23" s="21" t="s">
        <v>4</v>
      </c>
      <c r="B23" s="12"/>
      <c r="C23" s="9">
        <f t="shared" si="14"/>
        <v>0</v>
      </c>
      <c r="D23" s="17"/>
      <c r="E23" s="3"/>
      <c r="F23" s="7"/>
      <c r="G23" s="3"/>
      <c r="H23" s="3"/>
      <c r="I23" s="3"/>
      <c r="J23" s="3"/>
      <c r="K23" s="3"/>
      <c r="L23" s="3"/>
      <c r="M23" s="3"/>
      <c r="N23" s="10"/>
      <c r="O23" s="10"/>
      <c r="P23" s="10"/>
      <c r="Q23" s="10"/>
      <c r="R23" s="10"/>
      <c r="S23" s="9"/>
      <c r="T23" s="9"/>
      <c r="U23" s="9"/>
      <c r="V23" s="9">
        <f t="shared" si="15"/>
        <v>0</v>
      </c>
      <c r="W23" s="7"/>
      <c r="X23" s="4"/>
      <c r="Y23" s="8"/>
      <c r="Z23" s="5"/>
      <c r="AB23" s="5"/>
      <c r="AC23" s="7"/>
      <c r="AD23" s="6"/>
      <c r="AE23" s="5"/>
      <c r="AF23" s="4"/>
      <c r="AG23" s="4"/>
      <c r="AH23" s="4"/>
      <c r="AI23" s="4"/>
      <c r="AJ23" s="7"/>
      <c r="AK23" s="4"/>
      <c r="AL23" s="4"/>
      <c r="AO23" s="4"/>
    </row>
    <row r="24" spans="1:41" ht="12.75">
      <c r="A24" s="17" t="s">
        <v>402</v>
      </c>
      <c r="B24" s="12" t="s">
        <v>401</v>
      </c>
      <c r="C24" s="9">
        <f t="shared" si="14"/>
        <v>41.553000000000004</v>
      </c>
      <c r="D24" s="17" t="s">
        <v>4</v>
      </c>
      <c r="E24" s="3" t="s">
        <v>213</v>
      </c>
      <c r="F24" s="7">
        <v>0</v>
      </c>
      <c r="G24" s="3" t="s">
        <v>400</v>
      </c>
      <c r="H24" s="3" t="s">
        <v>2</v>
      </c>
      <c r="I24" s="3" t="s">
        <v>2</v>
      </c>
      <c r="J24" s="3"/>
      <c r="K24" s="3"/>
      <c r="L24" s="3"/>
      <c r="M24" s="3"/>
      <c r="N24" s="10" t="str">
        <f aca="true" t="shared" si="17" ref="N24:N31">VLOOKUP(D24,Weapon_range,(VLOOKUP(E24,weapon_size_col,2,FALSE)),FALSE)</f>
        <v>1/4</v>
      </c>
      <c r="O24" s="10">
        <v>1</v>
      </c>
      <c r="P24" s="10">
        <v>7</v>
      </c>
      <c r="Q24" s="10">
        <v>-1</v>
      </c>
      <c r="R24" s="10">
        <v>-10</v>
      </c>
      <c r="S24" s="9">
        <f aca="true" t="shared" si="18" ref="S24:S31">VLOOKUP($D24,Weapon_mode,2,FALSE)+VLOOKUP($E24,Weapon_size,2,FALSE)</f>
        <v>1</v>
      </c>
      <c r="T24" s="9">
        <f aca="true" t="shared" si="19" ref="T24:T31">VLOOKUP($D24,Weapon_mode,3,FALSE)++VLOOKUP($E24,Weapon_size,3,FALSE)</f>
        <v>0</v>
      </c>
      <c r="U24" s="9">
        <f aca="true" t="shared" si="20" ref="U24:U31">VLOOKUP($D24,Weapon_mode,4,FALSE)+VLOOKUP($E24,Weapon_size,4,FALSE)</f>
        <v>0</v>
      </c>
      <c r="V24" s="9">
        <f t="shared" si="15"/>
        <v>0</v>
      </c>
      <c r="W24" s="7">
        <v>60</v>
      </c>
      <c r="X24" s="4" t="s">
        <v>2</v>
      </c>
      <c r="Y24" s="8" t="s">
        <v>399</v>
      </c>
      <c r="Z24" s="3" t="str">
        <f>Y24</f>
        <v>6d10 + 60</v>
      </c>
      <c r="AB24" s="5">
        <v>99</v>
      </c>
      <c r="AC24" s="7">
        <f aca="true" t="shared" si="21" ref="AC24:AC31">AB24-4</f>
        <v>95</v>
      </c>
      <c r="AD24" s="6">
        <f aca="true" t="shared" si="22" ref="AD24:AD31">VLOOKUP(G24,RoF,2,FALSE)</f>
        <v>3.5</v>
      </c>
      <c r="AE24" s="5">
        <v>9</v>
      </c>
      <c r="AF24" s="4">
        <f aca="true" t="shared" si="23" ref="AF24:AF31">AB24/(AD24*AE24)</f>
        <v>3.142857142857143</v>
      </c>
      <c r="AG24" s="4">
        <f aca="true" t="shared" si="24" ref="AG24:AG31">AC24/AD24*IF(H24="Y",raking,1)*IF(I24="Y",Pierce,1)*IF(J24="Y",Sustained,1)*IF(K24="Y",standard,1)*IF(L24="Y",Pulse,1)*IF(M24="Y",Flash,1)</f>
        <v>25.65</v>
      </c>
      <c r="AH24" s="4">
        <f aca="true" t="shared" si="25" ref="AH24:AH31">VLOOKUP(S24,FireControl,2)</f>
        <v>1.07</v>
      </c>
      <c r="AI24" s="4">
        <f aca="true" t="shared" si="26" ref="AI24:AI31">VLOOKUP(N24,Range,2,FALSE)</f>
        <v>1.55</v>
      </c>
      <c r="AJ24" s="4">
        <f aca="true" t="shared" si="27" ref="AJ24:AJ31">VLOOKUP(W24,Arc,2,FALSE)</f>
        <v>0.9</v>
      </c>
      <c r="AK24" s="4">
        <f aca="true" t="shared" si="28" ref="AK24:AK31">VLOOKUP(X24,Interceptable,2,FALSE)</f>
        <v>0.9</v>
      </c>
      <c r="AL24" s="4">
        <f aca="true" t="shared" si="29" ref="AL24:AL31">VLOOKUP(F24,Interceptability,2,FALSE)</f>
        <v>0</v>
      </c>
      <c r="AM24" s="5">
        <v>1</v>
      </c>
      <c r="AO24" s="4">
        <f aca="true" t="shared" si="30" ref="AO24:AO31">MAX(AG24*AH24*AI24*AJ24*AK24*AM24,AL24)+MIN(AG24*AH24*AI24*AJ24*AK24,AL24)/2</f>
        <v>34.457825250000006</v>
      </c>
    </row>
    <row r="25" spans="1:41" ht="12.75">
      <c r="A25" s="17" t="s">
        <v>398</v>
      </c>
      <c r="B25" s="12" t="s">
        <v>397</v>
      </c>
      <c r="C25" s="9">
        <f t="shared" si="14"/>
        <v>53.60850000000001</v>
      </c>
      <c r="D25" s="17" t="s">
        <v>4</v>
      </c>
      <c r="E25" s="3" t="s">
        <v>16</v>
      </c>
      <c r="F25" s="7">
        <v>-1</v>
      </c>
      <c r="G25" s="3" t="s">
        <v>3</v>
      </c>
      <c r="H25" s="3"/>
      <c r="I25" s="3"/>
      <c r="J25" s="3"/>
      <c r="K25" s="3" t="s">
        <v>2</v>
      </c>
      <c r="L25" s="3"/>
      <c r="M25" s="3"/>
      <c r="N25" s="10" t="str">
        <f t="shared" si="17"/>
        <v>1/3</v>
      </c>
      <c r="O25" s="10">
        <v>4</v>
      </c>
      <c r="P25" s="10">
        <v>5</v>
      </c>
      <c r="Q25" s="10">
        <v>-4</v>
      </c>
      <c r="R25" s="10">
        <v>-15</v>
      </c>
      <c r="S25" s="9">
        <f t="shared" si="18"/>
        <v>1</v>
      </c>
      <c r="T25" s="9">
        <f t="shared" si="19"/>
        <v>1</v>
      </c>
      <c r="U25" s="9">
        <f t="shared" si="20"/>
        <v>0</v>
      </c>
      <c r="V25" s="9">
        <f t="shared" si="15"/>
        <v>-2</v>
      </c>
      <c r="W25" s="7">
        <v>120</v>
      </c>
      <c r="X25" s="4" t="s">
        <v>2</v>
      </c>
      <c r="Y25" s="8"/>
      <c r="Z25" s="3" t="s">
        <v>922</v>
      </c>
      <c r="AB25" s="5">
        <v>32.5</v>
      </c>
      <c r="AC25" s="7">
        <f t="shared" si="21"/>
        <v>28.5</v>
      </c>
      <c r="AD25" s="6">
        <f t="shared" si="22"/>
        <v>1</v>
      </c>
      <c r="AE25" s="5">
        <v>2</v>
      </c>
      <c r="AF25" s="4">
        <f t="shared" si="23"/>
        <v>16.25</v>
      </c>
      <c r="AG25" s="4">
        <f t="shared" si="24"/>
        <v>28.5</v>
      </c>
      <c r="AH25" s="4">
        <f t="shared" si="25"/>
        <v>1.07</v>
      </c>
      <c r="AI25" s="4">
        <f t="shared" si="26"/>
        <v>1.5</v>
      </c>
      <c r="AJ25" s="4">
        <f t="shared" si="27"/>
        <v>1</v>
      </c>
      <c r="AK25" s="4">
        <f t="shared" si="28"/>
        <v>0.9</v>
      </c>
      <c r="AL25" s="4">
        <f t="shared" si="29"/>
        <v>1</v>
      </c>
      <c r="AM25" s="5">
        <v>1</v>
      </c>
      <c r="AO25" s="4">
        <f t="shared" si="30"/>
        <v>41.66825</v>
      </c>
    </row>
    <row r="26" spans="1:41" ht="12.75">
      <c r="A26" s="17" t="s">
        <v>899</v>
      </c>
      <c r="B26" s="12" t="s">
        <v>900</v>
      </c>
      <c r="C26" s="9">
        <f t="shared" si="14"/>
        <v>26.928000000000004</v>
      </c>
      <c r="D26" s="17" t="s">
        <v>4</v>
      </c>
      <c r="E26" s="3" t="s">
        <v>12</v>
      </c>
      <c r="F26" s="7">
        <v>-1</v>
      </c>
      <c r="G26" s="3" t="s">
        <v>3</v>
      </c>
      <c r="H26" s="3"/>
      <c r="I26" s="3"/>
      <c r="J26" s="3"/>
      <c r="K26" s="3" t="s">
        <v>2</v>
      </c>
      <c r="L26" s="3"/>
      <c r="M26" s="3"/>
      <c r="N26" s="10" t="str">
        <f>VLOOKUP(D26,Weapon_range,(VLOOKUP(E26,weapon_size_col,2,FALSE)),FALSE)</f>
        <v>1/2</v>
      </c>
      <c r="O26" s="10">
        <v>5</v>
      </c>
      <c r="P26" s="10">
        <v>2</v>
      </c>
      <c r="Q26" s="10">
        <v>-10</v>
      </c>
      <c r="R26" s="10">
        <v>-26</v>
      </c>
      <c r="S26" s="9">
        <f t="shared" si="18"/>
        <v>0</v>
      </c>
      <c r="T26" s="9">
        <f t="shared" si="19"/>
        <v>1</v>
      </c>
      <c r="U26" s="9">
        <f t="shared" si="20"/>
        <v>1</v>
      </c>
      <c r="V26" s="9">
        <f t="shared" si="15"/>
        <v>-8</v>
      </c>
      <c r="W26" s="7">
        <v>120</v>
      </c>
      <c r="X26" s="4" t="s">
        <v>2</v>
      </c>
      <c r="Y26" s="8" t="s">
        <v>81</v>
      </c>
      <c r="Z26" s="3" t="s">
        <v>137</v>
      </c>
      <c r="AB26" s="5">
        <v>21</v>
      </c>
      <c r="AC26" s="7">
        <f t="shared" si="21"/>
        <v>17</v>
      </c>
      <c r="AD26" s="6">
        <f>VLOOKUP(G26,RoF,2,FALSE)</f>
        <v>1</v>
      </c>
      <c r="AE26" s="5">
        <v>2</v>
      </c>
      <c r="AF26" s="4">
        <f>AB26/(AD26*AE26)</f>
        <v>10.5</v>
      </c>
      <c r="AG26" s="4">
        <f>AC26/AD26*IF(H26="Y",raking,1)*IF(I26="Y",Pierce,1)*IF(J26="Y",Sustained,1)*IF(K26="Y",standard,1)*IF(L26="Y",Pulse,1)*IF(M26="Y",Flash,1)</f>
        <v>17</v>
      </c>
      <c r="AH26" s="4">
        <f>VLOOKUP(S26,FireControl,2)</f>
        <v>1</v>
      </c>
      <c r="AI26" s="4">
        <f>VLOOKUP(N26,Range,2,FALSE)</f>
        <v>1.4</v>
      </c>
      <c r="AJ26" s="4">
        <f>VLOOKUP(W26,Arc,2,FALSE)</f>
        <v>1</v>
      </c>
      <c r="AK26" s="4">
        <f>VLOOKUP(X26,Interceptable,2,FALSE)</f>
        <v>0.9</v>
      </c>
      <c r="AL26" s="4">
        <f>VLOOKUP(F26,Interceptability,2,FALSE)</f>
        <v>1</v>
      </c>
      <c r="AM26" s="5">
        <v>1</v>
      </c>
      <c r="AO26" s="4">
        <f t="shared" si="30"/>
        <v>21.919999999999998</v>
      </c>
    </row>
    <row r="27" spans="1:41" ht="12.75">
      <c r="A27" s="17" t="s">
        <v>395</v>
      </c>
      <c r="B27" s="12" t="s">
        <v>396</v>
      </c>
      <c r="C27" s="9">
        <f t="shared" si="14"/>
        <v>10.023750000000001</v>
      </c>
      <c r="D27" s="17" t="s">
        <v>4</v>
      </c>
      <c r="E27" s="3" t="s">
        <v>8</v>
      </c>
      <c r="F27" s="7">
        <v>-1</v>
      </c>
      <c r="G27" s="3" t="s">
        <v>3</v>
      </c>
      <c r="H27" s="3"/>
      <c r="I27" s="3"/>
      <c r="J27" s="3"/>
      <c r="K27" s="3" t="s">
        <v>2</v>
      </c>
      <c r="L27" s="3"/>
      <c r="M27" s="3"/>
      <c r="N27" s="10" t="str">
        <f t="shared" si="17"/>
        <v>2/3</v>
      </c>
      <c r="O27" s="10">
        <v>8</v>
      </c>
      <c r="P27" s="10">
        <v>-2</v>
      </c>
      <c r="Q27" s="10">
        <v>-17</v>
      </c>
      <c r="R27" s="10">
        <v>-40</v>
      </c>
      <c r="S27" s="9">
        <f t="shared" si="18"/>
        <v>0</v>
      </c>
      <c r="T27" s="9">
        <f t="shared" si="19"/>
        <v>2</v>
      </c>
      <c r="U27" s="9">
        <f t="shared" si="20"/>
        <v>3</v>
      </c>
      <c r="V27" s="9">
        <f t="shared" si="15"/>
        <v>-13</v>
      </c>
      <c r="W27" s="7">
        <v>120</v>
      </c>
      <c r="X27" s="4" t="s">
        <v>2</v>
      </c>
      <c r="Y27" s="8" t="s">
        <v>208</v>
      </c>
      <c r="Z27" s="3" t="s">
        <v>208</v>
      </c>
      <c r="AB27" s="5">
        <v>11.5</v>
      </c>
      <c r="AC27" s="7">
        <f t="shared" si="21"/>
        <v>7.5</v>
      </c>
      <c r="AD27" s="6">
        <f t="shared" si="22"/>
        <v>1</v>
      </c>
      <c r="AE27" s="5">
        <v>2</v>
      </c>
      <c r="AF27" s="4">
        <f t="shared" si="23"/>
        <v>5.75</v>
      </c>
      <c r="AG27" s="4">
        <f t="shared" si="24"/>
        <v>7.5</v>
      </c>
      <c r="AH27" s="4">
        <f t="shared" si="25"/>
        <v>1</v>
      </c>
      <c r="AI27" s="4">
        <f t="shared" si="26"/>
        <v>1.25</v>
      </c>
      <c r="AJ27" s="4">
        <f t="shared" si="27"/>
        <v>1</v>
      </c>
      <c r="AK27" s="4">
        <f t="shared" si="28"/>
        <v>0.9</v>
      </c>
      <c r="AL27" s="4">
        <f t="shared" si="29"/>
        <v>1</v>
      </c>
      <c r="AM27" s="5">
        <v>1</v>
      </c>
      <c r="AO27" s="4">
        <f t="shared" si="30"/>
        <v>8.9375</v>
      </c>
    </row>
    <row r="28" spans="1:41" ht="12.75">
      <c r="A28" s="17" t="s">
        <v>395</v>
      </c>
      <c r="B28" s="12" t="s">
        <v>394</v>
      </c>
      <c r="C28" s="9">
        <f t="shared" si="14"/>
        <v>11.026125000000002</v>
      </c>
      <c r="D28" s="17" t="s">
        <v>4</v>
      </c>
      <c r="E28" s="3" t="s">
        <v>8</v>
      </c>
      <c r="F28" s="7">
        <v>-1</v>
      </c>
      <c r="G28" s="3" t="s">
        <v>3</v>
      </c>
      <c r="H28" s="3"/>
      <c r="I28" s="3"/>
      <c r="J28" s="3"/>
      <c r="K28" s="3" t="s">
        <v>2</v>
      </c>
      <c r="L28" s="3"/>
      <c r="M28" s="3"/>
      <c r="N28" s="10" t="str">
        <f t="shared" si="17"/>
        <v>2/3</v>
      </c>
      <c r="O28" s="10">
        <v>8</v>
      </c>
      <c r="P28" s="10">
        <v>-2</v>
      </c>
      <c r="Q28" s="10">
        <v>-17</v>
      </c>
      <c r="R28" s="10">
        <v>-40</v>
      </c>
      <c r="S28" s="9">
        <f t="shared" si="18"/>
        <v>0</v>
      </c>
      <c r="T28" s="9">
        <f t="shared" si="19"/>
        <v>2</v>
      </c>
      <c r="U28" s="9">
        <f t="shared" si="20"/>
        <v>3</v>
      </c>
      <c r="V28" s="9">
        <f t="shared" si="15"/>
        <v>-13</v>
      </c>
      <c r="W28" s="7">
        <v>180</v>
      </c>
      <c r="X28" s="4" t="s">
        <v>2</v>
      </c>
      <c r="Y28" s="8" t="s">
        <v>208</v>
      </c>
      <c r="Z28" s="3" t="s">
        <v>208</v>
      </c>
      <c r="AB28" s="5">
        <v>11.5</v>
      </c>
      <c r="AC28" s="7">
        <f t="shared" si="21"/>
        <v>7.5</v>
      </c>
      <c r="AD28" s="6">
        <f t="shared" si="22"/>
        <v>1</v>
      </c>
      <c r="AE28" s="5">
        <v>2</v>
      </c>
      <c r="AF28" s="4">
        <f t="shared" si="23"/>
        <v>5.75</v>
      </c>
      <c r="AG28" s="4">
        <f t="shared" si="24"/>
        <v>7.5</v>
      </c>
      <c r="AH28" s="4">
        <f t="shared" si="25"/>
        <v>1</v>
      </c>
      <c r="AI28" s="4">
        <f t="shared" si="26"/>
        <v>1.25</v>
      </c>
      <c r="AJ28" s="4">
        <f t="shared" si="27"/>
        <v>1.1</v>
      </c>
      <c r="AK28" s="4">
        <f t="shared" si="28"/>
        <v>0.9</v>
      </c>
      <c r="AL28" s="4">
        <f t="shared" si="29"/>
        <v>1</v>
      </c>
      <c r="AM28" s="5">
        <v>1</v>
      </c>
      <c r="AO28" s="4">
        <f t="shared" si="30"/>
        <v>9.78125</v>
      </c>
    </row>
    <row r="29" spans="1:41" ht="12.75">
      <c r="A29" s="17" t="s">
        <v>393</v>
      </c>
      <c r="B29" s="12" t="s">
        <v>392</v>
      </c>
      <c r="C29" s="9">
        <f t="shared" si="14"/>
        <v>32.4</v>
      </c>
      <c r="D29" s="17" t="s">
        <v>4</v>
      </c>
      <c r="E29" s="3" t="s">
        <v>12</v>
      </c>
      <c r="F29" s="7">
        <v>-2</v>
      </c>
      <c r="G29" s="3" t="s">
        <v>283</v>
      </c>
      <c r="H29" s="3"/>
      <c r="I29" s="3"/>
      <c r="J29" s="3"/>
      <c r="K29" s="3" t="s">
        <v>2</v>
      </c>
      <c r="L29" s="3"/>
      <c r="M29" s="3"/>
      <c r="N29" s="10" t="str">
        <f t="shared" si="17"/>
        <v>1/2</v>
      </c>
      <c r="O29" s="10">
        <v>5</v>
      </c>
      <c r="P29" s="10">
        <v>2</v>
      </c>
      <c r="Q29" s="10">
        <v>-10</v>
      </c>
      <c r="R29" s="10">
        <v>-26</v>
      </c>
      <c r="S29" s="9">
        <f t="shared" si="18"/>
        <v>0</v>
      </c>
      <c r="T29" s="9">
        <f t="shared" si="19"/>
        <v>1</v>
      </c>
      <c r="U29" s="9">
        <f t="shared" si="20"/>
        <v>1</v>
      </c>
      <c r="V29" s="9">
        <f t="shared" si="15"/>
        <v>-8</v>
      </c>
      <c r="W29" s="7">
        <v>120</v>
      </c>
      <c r="X29" s="4" t="s">
        <v>2</v>
      </c>
      <c r="Y29" s="8" t="s">
        <v>208</v>
      </c>
      <c r="Z29" s="3" t="s">
        <v>208</v>
      </c>
      <c r="AB29" s="5">
        <v>11.5</v>
      </c>
      <c r="AC29" s="7">
        <f t="shared" si="21"/>
        <v>7.5</v>
      </c>
      <c r="AD29" s="6">
        <f t="shared" si="22"/>
        <v>0.4</v>
      </c>
      <c r="AE29" s="5">
        <v>4</v>
      </c>
      <c r="AF29" s="4">
        <f t="shared" si="23"/>
        <v>7.1875</v>
      </c>
      <c r="AG29" s="4">
        <f t="shared" si="24"/>
        <v>18.75</v>
      </c>
      <c r="AH29" s="4">
        <f t="shared" si="25"/>
        <v>1</v>
      </c>
      <c r="AI29" s="4">
        <f t="shared" si="26"/>
        <v>1.4</v>
      </c>
      <c r="AJ29" s="4">
        <f t="shared" si="27"/>
        <v>1</v>
      </c>
      <c r="AK29" s="4">
        <f t="shared" si="28"/>
        <v>0.9</v>
      </c>
      <c r="AL29" s="4">
        <f t="shared" si="29"/>
        <v>2</v>
      </c>
      <c r="AM29" s="5">
        <v>1</v>
      </c>
      <c r="AO29" s="4">
        <f t="shared" si="30"/>
        <v>24.625</v>
      </c>
    </row>
    <row r="30" spans="1:41" ht="12.75">
      <c r="A30" s="17" t="s">
        <v>390</v>
      </c>
      <c r="B30" s="12" t="s">
        <v>391</v>
      </c>
      <c r="C30" s="9">
        <f t="shared" si="14"/>
        <v>17.24550898203593</v>
      </c>
      <c r="D30" s="17" t="s">
        <v>4</v>
      </c>
      <c r="E30" s="3" t="s">
        <v>12</v>
      </c>
      <c r="F30" s="7">
        <v>0</v>
      </c>
      <c r="G30" s="3" t="s">
        <v>15</v>
      </c>
      <c r="H30" s="3"/>
      <c r="I30" s="3"/>
      <c r="J30" s="3"/>
      <c r="K30" s="3" t="s">
        <v>2</v>
      </c>
      <c r="L30" s="3"/>
      <c r="M30" s="3"/>
      <c r="N30" s="10" t="str">
        <f t="shared" si="17"/>
        <v>1/2</v>
      </c>
      <c r="O30" s="10">
        <v>5</v>
      </c>
      <c r="P30" s="10">
        <v>2</v>
      </c>
      <c r="Q30" s="10">
        <v>-10</v>
      </c>
      <c r="R30" s="10">
        <v>-26</v>
      </c>
      <c r="S30" s="9">
        <f t="shared" si="18"/>
        <v>0</v>
      </c>
      <c r="T30" s="9">
        <f t="shared" si="19"/>
        <v>1</v>
      </c>
      <c r="U30" s="9">
        <f t="shared" si="20"/>
        <v>1</v>
      </c>
      <c r="V30" s="9">
        <f t="shared" si="15"/>
        <v>-8</v>
      </c>
      <c r="W30" s="7">
        <v>120</v>
      </c>
      <c r="X30" s="4" t="s">
        <v>2</v>
      </c>
      <c r="Y30" s="8" t="s">
        <v>388</v>
      </c>
      <c r="Z30" s="3" t="str">
        <f>Y30</f>
        <v>d5+ 12</v>
      </c>
      <c r="AB30" s="5">
        <v>24</v>
      </c>
      <c r="AC30" s="7">
        <f t="shared" si="21"/>
        <v>20</v>
      </c>
      <c r="AD30" s="6">
        <f t="shared" si="22"/>
        <v>1.67</v>
      </c>
      <c r="AE30" s="5">
        <v>3</v>
      </c>
      <c r="AF30" s="4">
        <f t="shared" si="23"/>
        <v>4.790419161676647</v>
      </c>
      <c r="AG30" s="4">
        <f t="shared" si="24"/>
        <v>11.976047904191617</v>
      </c>
      <c r="AH30" s="4">
        <f t="shared" si="25"/>
        <v>1</v>
      </c>
      <c r="AI30" s="4">
        <f t="shared" si="26"/>
        <v>1.4</v>
      </c>
      <c r="AJ30" s="4">
        <f t="shared" si="27"/>
        <v>1</v>
      </c>
      <c r="AK30" s="4">
        <f t="shared" si="28"/>
        <v>0.9</v>
      </c>
      <c r="AL30" s="4">
        <f t="shared" si="29"/>
        <v>0</v>
      </c>
      <c r="AM30" s="5">
        <v>1</v>
      </c>
      <c r="AO30" s="4">
        <f t="shared" si="30"/>
        <v>15.089820359281436</v>
      </c>
    </row>
    <row r="31" spans="1:41" ht="12.75">
      <c r="A31" s="17" t="s">
        <v>390</v>
      </c>
      <c r="B31" s="12" t="s">
        <v>389</v>
      </c>
      <c r="C31" s="9">
        <f t="shared" si="14"/>
        <v>18.970059880239525</v>
      </c>
      <c r="D31" s="17" t="s">
        <v>4</v>
      </c>
      <c r="E31" s="3" t="s">
        <v>12</v>
      </c>
      <c r="F31" s="7">
        <v>0</v>
      </c>
      <c r="G31" s="3" t="s">
        <v>15</v>
      </c>
      <c r="H31" s="3"/>
      <c r="I31" s="3"/>
      <c r="J31" s="3"/>
      <c r="K31" s="3" t="s">
        <v>2</v>
      </c>
      <c r="L31" s="3"/>
      <c r="M31" s="3"/>
      <c r="N31" s="10" t="str">
        <f t="shared" si="17"/>
        <v>1/2</v>
      </c>
      <c r="O31" s="10">
        <v>5</v>
      </c>
      <c r="P31" s="10">
        <v>2</v>
      </c>
      <c r="Q31" s="10">
        <v>-10</v>
      </c>
      <c r="R31" s="10">
        <v>-26</v>
      </c>
      <c r="S31" s="9">
        <f t="shared" si="18"/>
        <v>0</v>
      </c>
      <c r="T31" s="9">
        <f t="shared" si="19"/>
        <v>1</v>
      </c>
      <c r="U31" s="9">
        <f t="shared" si="20"/>
        <v>1</v>
      </c>
      <c r="V31" s="9">
        <f t="shared" si="15"/>
        <v>-8</v>
      </c>
      <c r="W31" s="7">
        <v>180</v>
      </c>
      <c r="X31" s="4" t="s">
        <v>2</v>
      </c>
      <c r="Y31" s="8" t="s">
        <v>388</v>
      </c>
      <c r="Z31" s="3" t="str">
        <f>Y31</f>
        <v>d5+ 12</v>
      </c>
      <c r="AB31" s="5">
        <v>24</v>
      </c>
      <c r="AC31" s="7">
        <f t="shared" si="21"/>
        <v>20</v>
      </c>
      <c r="AD31" s="6">
        <f t="shared" si="22"/>
        <v>1.67</v>
      </c>
      <c r="AE31" s="5">
        <v>3</v>
      </c>
      <c r="AF31" s="4">
        <f t="shared" si="23"/>
        <v>4.790419161676647</v>
      </c>
      <c r="AG31" s="4">
        <f t="shared" si="24"/>
        <v>11.976047904191617</v>
      </c>
      <c r="AH31" s="4">
        <f t="shared" si="25"/>
        <v>1</v>
      </c>
      <c r="AI31" s="4">
        <f t="shared" si="26"/>
        <v>1.4</v>
      </c>
      <c r="AJ31" s="4">
        <f t="shared" si="27"/>
        <v>1.1</v>
      </c>
      <c r="AK31" s="4">
        <f t="shared" si="28"/>
        <v>0.9</v>
      </c>
      <c r="AL31" s="4">
        <f t="shared" si="29"/>
        <v>0</v>
      </c>
      <c r="AM31" s="5">
        <v>1</v>
      </c>
      <c r="AO31" s="4">
        <f t="shared" si="30"/>
        <v>16.59880239520958</v>
      </c>
    </row>
    <row r="32" spans="1:41" ht="12.75">
      <c r="A32" s="23" t="s">
        <v>387</v>
      </c>
      <c r="B32" s="12"/>
      <c r="C32" s="9">
        <f t="shared" si="14"/>
        <v>0</v>
      </c>
      <c r="E32" s="3"/>
      <c r="F32" s="7"/>
      <c r="G32" s="5"/>
      <c r="H32" s="5"/>
      <c r="I32" s="5"/>
      <c r="J32" s="5"/>
      <c r="K32" s="5"/>
      <c r="L32" s="5"/>
      <c r="M32" s="5"/>
      <c r="N32" s="10"/>
      <c r="O32" s="10"/>
      <c r="P32" s="10"/>
      <c r="Q32" s="10"/>
      <c r="R32" s="10"/>
      <c r="S32" s="9"/>
      <c r="T32" s="9"/>
      <c r="U32" s="9"/>
      <c r="V32" s="9">
        <f t="shared" si="15"/>
        <v>0</v>
      </c>
      <c r="W32" s="7"/>
      <c r="X32" s="4"/>
      <c r="Y32" s="14"/>
      <c r="Z32" s="5"/>
      <c r="AB32" s="5"/>
      <c r="AC32" s="7"/>
      <c r="AD32" s="6"/>
      <c r="AE32" s="5"/>
      <c r="AF32" s="4"/>
      <c r="AG32" s="4"/>
      <c r="AH32" s="4"/>
      <c r="AI32" s="4"/>
      <c r="AJ32" s="7"/>
      <c r="AK32" s="4"/>
      <c r="AL32" s="4"/>
      <c r="AO32" s="4"/>
    </row>
    <row r="33" spans="1:41" ht="12.75">
      <c r="A33" s="17" t="s">
        <v>386</v>
      </c>
      <c r="B33" s="12" t="s">
        <v>385</v>
      </c>
      <c r="C33" s="9">
        <f t="shared" si="14"/>
        <v>27.38057142857144</v>
      </c>
      <c r="D33" s="17" t="s">
        <v>4</v>
      </c>
      <c r="E33" s="3" t="s">
        <v>12</v>
      </c>
      <c r="F33" s="7">
        <v>-1</v>
      </c>
      <c r="G33" s="3" t="s">
        <v>11</v>
      </c>
      <c r="H33" s="3" t="s">
        <v>2</v>
      </c>
      <c r="I33" s="3"/>
      <c r="J33" s="3"/>
      <c r="K33" s="3"/>
      <c r="L33" s="3"/>
      <c r="M33" s="3"/>
      <c r="N33" s="10" t="str">
        <f aca="true" t="shared" si="31" ref="N33:N44">VLOOKUP(D33,Weapon_range,(VLOOKUP(E33,weapon_size_col,2,FALSE)),FALSE)</f>
        <v>1/2</v>
      </c>
      <c r="O33" s="10">
        <v>5</v>
      </c>
      <c r="P33" s="10">
        <v>2</v>
      </c>
      <c r="Q33" s="10">
        <v>-10</v>
      </c>
      <c r="R33" s="10">
        <v>-26</v>
      </c>
      <c r="S33" s="9">
        <f aca="true" t="shared" si="32" ref="S33:S44">VLOOKUP($D33,Weapon_mode,2,FALSE)+VLOOKUP($E33,Weapon_size,2,FALSE)</f>
        <v>0</v>
      </c>
      <c r="T33" s="9">
        <f aca="true" t="shared" si="33" ref="T33:T44">VLOOKUP($D33,Weapon_mode,3,FALSE)++VLOOKUP($E33,Weapon_size,3,FALSE)</f>
        <v>1</v>
      </c>
      <c r="U33" s="9">
        <f aca="true" t="shared" si="34" ref="U33:U44">VLOOKUP($D33,Weapon_mode,4,FALSE)+VLOOKUP($E33,Weapon_size,4,FALSE)</f>
        <v>1</v>
      </c>
      <c r="V33" s="9">
        <f t="shared" si="15"/>
        <v>-8</v>
      </c>
      <c r="W33" s="7">
        <v>120</v>
      </c>
      <c r="X33" s="4" t="s">
        <v>21</v>
      </c>
      <c r="Y33" s="8" t="s">
        <v>381</v>
      </c>
      <c r="Z33" s="3" t="str">
        <f aca="true" t="shared" si="35" ref="Z33:Z44">Y33</f>
        <v>2d10+15</v>
      </c>
      <c r="AB33" s="5">
        <v>26</v>
      </c>
      <c r="AC33" s="7">
        <f aca="true" t="shared" si="36" ref="AC33:AC44">AB33-4</f>
        <v>22</v>
      </c>
      <c r="AD33" s="6">
        <f aca="true" t="shared" si="37" ref="AD33:AD44">VLOOKUP(G33,RoF,2,FALSE)</f>
        <v>1.4</v>
      </c>
      <c r="AE33" s="5">
        <v>7</v>
      </c>
      <c r="AF33" s="4">
        <f aca="true" t="shared" si="38" ref="AF33:AF44">AB33/(AD33*AE33)</f>
        <v>2.653061224489796</v>
      </c>
      <c r="AG33" s="4">
        <f aca="true" t="shared" si="39" ref="AG33:AG44">AC33/AD33*IF(H33="Y",raking,1)*IF(I33="Y",Pierce,1)*IF(J33="Y",Sustained,1)*IF(K33="Y",standard,1)*IF(L33="Y",Pulse,1)*IF(M33="Y",Flash,1)</f>
        <v>14.142857142857144</v>
      </c>
      <c r="AH33" s="4">
        <f aca="true" t="shared" si="40" ref="AH33:AH40">VLOOKUP(S33,FireControl,2)</f>
        <v>1</v>
      </c>
      <c r="AI33" s="4">
        <f aca="true" t="shared" si="41" ref="AI33:AI44">VLOOKUP(N33,Range,2,FALSE)</f>
        <v>1.4</v>
      </c>
      <c r="AJ33" s="4">
        <f aca="true" t="shared" si="42" ref="AJ33:AJ44">VLOOKUP(W33,Arc,2,FALSE)</f>
        <v>1</v>
      </c>
      <c r="AK33" s="4">
        <f aca="true" t="shared" si="43" ref="AK33:AK44">VLOOKUP(X33,Interceptable,2,FALSE)</f>
        <v>1.1</v>
      </c>
      <c r="AL33" s="4">
        <f aca="true" t="shared" si="44" ref="AL33:AL44">VLOOKUP(F33,Interceptability,2,FALSE)</f>
        <v>1</v>
      </c>
      <c r="AM33" s="5">
        <v>1</v>
      </c>
      <c r="AO33" s="4">
        <f aca="true" t="shared" si="45" ref="AO33:AO44">MAX(AG33*AH33*AI33*AJ33*AK33*AM33,AL33)+MIN(AG33*AH33*AI33*AJ33*AK33,AL33)/2</f>
        <v>22.28</v>
      </c>
    </row>
    <row r="34" spans="1:41" ht="12.75">
      <c r="A34" s="17" t="s">
        <v>383</v>
      </c>
      <c r="B34" s="12" t="s">
        <v>384</v>
      </c>
      <c r="C34" s="9">
        <f t="shared" si="14"/>
        <v>27.38057142857144</v>
      </c>
      <c r="D34" s="17" t="s">
        <v>4</v>
      </c>
      <c r="E34" s="3" t="s">
        <v>12</v>
      </c>
      <c r="F34" s="7">
        <v>-1</v>
      </c>
      <c r="G34" s="3" t="s">
        <v>11</v>
      </c>
      <c r="H34" s="3" t="s">
        <v>2</v>
      </c>
      <c r="I34" s="3"/>
      <c r="J34" s="3"/>
      <c r="K34" s="3"/>
      <c r="L34" s="3"/>
      <c r="M34" s="3"/>
      <c r="N34" s="10" t="str">
        <f t="shared" si="31"/>
        <v>1/2</v>
      </c>
      <c r="O34" s="10">
        <v>5</v>
      </c>
      <c r="P34" s="10">
        <v>2</v>
      </c>
      <c r="Q34" s="10">
        <v>-10</v>
      </c>
      <c r="R34" s="10">
        <v>-26</v>
      </c>
      <c r="S34" s="9">
        <f t="shared" si="32"/>
        <v>0</v>
      </c>
      <c r="T34" s="9">
        <f t="shared" si="33"/>
        <v>1</v>
      </c>
      <c r="U34" s="9">
        <f t="shared" si="34"/>
        <v>1</v>
      </c>
      <c r="V34" s="9">
        <f t="shared" si="15"/>
        <v>-8</v>
      </c>
      <c r="W34" s="7">
        <v>120</v>
      </c>
      <c r="X34" s="4" t="s">
        <v>21</v>
      </c>
      <c r="Y34" s="14" t="s">
        <v>381</v>
      </c>
      <c r="Z34" s="3" t="str">
        <f t="shared" si="35"/>
        <v>2d10+15</v>
      </c>
      <c r="AB34" s="5">
        <v>26</v>
      </c>
      <c r="AC34" s="7">
        <f t="shared" si="36"/>
        <v>22</v>
      </c>
      <c r="AD34" s="6">
        <f t="shared" si="37"/>
        <v>1.4</v>
      </c>
      <c r="AE34" s="5">
        <v>7</v>
      </c>
      <c r="AF34" s="4">
        <f t="shared" si="38"/>
        <v>2.653061224489796</v>
      </c>
      <c r="AG34" s="4">
        <f t="shared" si="39"/>
        <v>14.142857142857144</v>
      </c>
      <c r="AH34" s="4">
        <f t="shared" si="40"/>
        <v>1</v>
      </c>
      <c r="AI34" s="4">
        <f t="shared" si="41"/>
        <v>1.4</v>
      </c>
      <c r="AJ34" s="4">
        <f t="shared" si="42"/>
        <v>1</v>
      </c>
      <c r="AK34" s="4">
        <f t="shared" si="43"/>
        <v>1.1</v>
      </c>
      <c r="AL34" s="4">
        <f t="shared" si="44"/>
        <v>1</v>
      </c>
      <c r="AM34" s="5">
        <v>1</v>
      </c>
      <c r="AO34" s="4">
        <f t="shared" si="45"/>
        <v>22.28</v>
      </c>
    </row>
    <row r="35" spans="1:41" ht="12.75">
      <c r="A35" s="17" t="s">
        <v>383</v>
      </c>
      <c r="B35" s="12" t="s">
        <v>382</v>
      </c>
      <c r="C35" s="9">
        <f t="shared" si="14"/>
        <v>30.118628571428584</v>
      </c>
      <c r="D35" s="17" t="s">
        <v>4</v>
      </c>
      <c r="E35" s="3" t="s">
        <v>12</v>
      </c>
      <c r="F35" s="7">
        <v>-1</v>
      </c>
      <c r="G35" s="3" t="s">
        <v>11</v>
      </c>
      <c r="H35" s="3" t="s">
        <v>2</v>
      </c>
      <c r="I35" s="3"/>
      <c r="J35" s="3"/>
      <c r="K35" s="3"/>
      <c r="L35" s="3"/>
      <c r="M35" s="3"/>
      <c r="N35" s="10" t="str">
        <f t="shared" si="31"/>
        <v>1/2</v>
      </c>
      <c r="O35" s="10">
        <v>5</v>
      </c>
      <c r="P35" s="10">
        <v>2</v>
      </c>
      <c r="Q35" s="10">
        <v>-10</v>
      </c>
      <c r="R35" s="10">
        <v>-26</v>
      </c>
      <c r="S35" s="9">
        <f t="shared" si="32"/>
        <v>0</v>
      </c>
      <c r="T35" s="9">
        <f t="shared" si="33"/>
        <v>1</v>
      </c>
      <c r="U35" s="9">
        <f t="shared" si="34"/>
        <v>1</v>
      </c>
      <c r="V35" s="9">
        <f t="shared" si="15"/>
        <v>-8</v>
      </c>
      <c r="W35" s="7">
        <v>180</v>
      </c>
      <c r="X35" s="4" t="s">
        <v>21</v>
      </c>
      <c r="Y35" s="14" t="s">
        <v>381</v>
      </c>
      <c r="Z35" s="3" t="str">
        <f t="shared" si="35"/>
        <v>2d10+15</v>
      </c>
      <c r="AB35" s="5">
        <v>26</v>
      </c>
      <c r="AC35" s="7">
        <f t="shared" si="36"/>
        <v>22</v>
      </c>
      <c r="AD35" s="6">
        <f t="shared" si="37"/>
        <v>1.4</v>
      </c>
      <c r="AE35" s="5">
        <v>7</v>
      </c>
      <c r="AF35" s="4">
        <f t="shared" si="38"/>
        <v>2.653061224489796</v>
      </c>
      <c r="AG35" s="4">
        <f t="shared" si="39"/>
        <v>14.142857142857144</v>
      </c>
      <c r="AH35" s="4">
        <f t="shared" si="40"/>
        <v>1</v>
      </c>
      <c r="AI35" s="4">
        <f t="shared" si="41"/>
        <v>1.4</v>
      </c>
      <c r="AJ35" s="4">
        <f t="shared" si="42"/>
        <v>1.1</v>
      </c>
      <c r="AK35" s="4">
        <f t="shared" si="43"/>
        <v>1.1</v>
      </c>
      <c r="AL35" s="4">
        <f t="shared" si="44"/>
        <v>1</v>
      </c>
      <c r="AM35" s="5">
        <v>1</v>
      </c>
      <c r="AO35" s="4">
        <f t="shared" si="45"/>
        <v>24.458000000000002</v>
      </c>
    </row>
    <row r="36" spans="1:41" ht="12.75">
      <c r="A36" s="17" t="s">
        <v>378</v>
      </c>
      <c r="B36" s="12" t="s">
        <v>380</v>
      </c>
      <c r="C36" s="9">
        <f t="shared" si="14"/>
        <v>38.69485714285715</v>
      </c>
      <c r="D36" s="17" t="s">
        <v>4</v>
      </c>
      <c r="E36" s="3" t="s">
        <v>12</v>
      </c>
      <c r="F36" s="7">
        <v>0</v>
      </c>
      <c r="G36" s="3" t="s">
        <v>11</v>
      </c>
      <c r="H36" s="3" t="s">
        <v>2</v>
      </c>
      <c r="I36" s="3"/>
      <c r="J36" s="3" t="s">
        <v>2</v>
      </c>
      <c r="K36" s="3"/>
      <c r="L36" s="3"/>
      <c r="M36" s="3"/>
      <c r="N36" s="10" t="str">
        <f t="shared" si="31"/>
        <v>1/2</v>
      </c>
      <c r="O36" s="10">
        <v>5</v>
      </c>
      <c r="P36" s="10">
        <v>2</v>
      </c>
      <c r="Q36" s="10">
        <v>-10</v>
      </c>
      <c r="R36" s="10">
        <v>-26</v>
      </c>
      <c r="S36" s="9">
        <f t="shared" si="32"/>
        <v>0</v>
      </c>
      <c r="T36" s="9">
        <f t="shared" si="33"/>
        <v>1</v>
      </c>
      <c r="U36" s="9">
        <f t="shared" si="34"/>
        <v>1</v>
      </c>
      <c r="V36" s="9">
        <f t="shared" si="15"/>
        <v>-8</v>
      </c>
      <c r="W36" s="7">
        <v>120</v>
      </c>
      <c r="X36" s="4" t="s">
        <v>21</v>
      </c>
      <c r="Y36" s="14" t="s">
        <v>376</v>
      </c>
      <c r="Z36" s="3" t="str">
        <f t="shared" si="35"/>
        <v>2d10+12</v>
      </c>
      <c r="AB36" s="5">
        <v>23</v>
      </c>
      <c r="AC36" s="7">
        <f t="shared" si="36"/>
        <v>19</v>
      </c>
      <c r="AD36" s="6">
        <f t="shared" si="37"/>
        <v>1.4</v>
      </c>
      <c r="AE36" s="5">
        <v>3</v>
      </c>
      <c r="AF36" s="4">
        <f t="shared" si="38"/>
        <v>5.476190476190477</v>
      </c>
      <c r="AG36" s="4">
        <f t="shared" si="39"/>
        <v>21.985714285714288</v>
      </c>
      <c r="AH36" s="4">
        <f t="shared" si="40"/>
        <v>1</v>
      </c>
      <c r="AI36" s="4">
        <f t="shared" si="41"/>
        <v>1.4</v>
      </c>
      <c r="AJ36" s="4">
        <f t="shared" si="42"/>
        <v>1</v>
      </c>
      <c r="AK36" s="4">
        <f t="shared" si="43"/>
        <v>1.1</v>
      </c>
      <c r="AL36" s="4">
        <f t="shared" si="44"/>
        <v>0</v>
      </c>
      <c r="AM36" s="5">
        <v>1</v>
      </c>
      <c r="AO36" s="4">
        <f t="shared" si="45"/>
        <v>33.858000000000004</v>
      </c>
    </row>
    <row r="37" spans="1:41" ht="12.75">
      <c r="A37" s="17" t="s">
        <v>378</v>
      </c>
      <c r="B37" s="12" t="s">
        <v>379</v>
      </c>
      <c r="C37" s="9">
        <f t="shared" si="14"/>
        <v>42.56434285714287</v>
      </c>
      <c r="D37" s="17" t="s">
        <v>4</v>
      </c>
      <c r="E37" s="3" t="s">
        <v>12</v>
      </c>
      <c r="F37" s="7">
        <v>0</v>
      </c>
      <c r="G37" s="3" t="s">
        <v>11</v>
      </c>
      <c r="H37" s="3" t="s">
        <v>2</v>
      </c>
      <c r="I37" s="3"/>
      <c r="J37" s="3" t="s">
        <v>2</v>
      </c>
      <c r="K37" s="3"/>
      <c r="L37" s="3"/>
      <c r="M37" s="3"/>
      <c r="N37" s="10" t="str">
        <f t="shared" si="31"/>
        <v>1/2</v>
      </c>
      <c r="O37" s="10">
        <v>5</v>
      </c>
      <c r="P37" s="10">
        <v>2</v>
      </c>
      <c r="Q37" s="10">
        <v>-10</v>
      </c>
      <c r="R37" s="10">
        <v>-26</v>
      </c>
      <c r="S37" s="9">
        <f t="shared" si="32"/>
        <v>0</v>
      </c>
      <c r="T37" s="9">
        <f t="shared" si="33"/>
        <v>1</v>
      </c>
      <c r="U37" s="9">
        <f t="shared" si="34"/>
        <v>1</v>
      </c>
      <c r="V37" s="9">
        <f t="shared" si="15"/>
        <v>-8</v>
      </c>
      <c r="W37" s="7">
        <v>180</v>
      </c>
      <c r="X37" s="4" t="s">
        <v>21</v>
      </c>
      <c r="Y37" s="14" t="s">
        <v>376</v>
      </c>
      <c r="Z37" s="3" t="str">
        <f t="shared" si="35"/>
        <v>2d10+12</v>
      </c>
      <c r="AB37" s="5">
        <v>23</v>
      </c>
      <c r="AC37" s="7">
        <f t="shared" si="36"/>
        <v>19</v>
      </c>
      <c r="AD37" s="6">
        <f t="shared" si="37"/>
        <v>1.4</v>
      </c>
      <c r="AE37" s="5">
        <v>3</v>
      </c>
      <c r="AF37" s="4">
        <f t="shared" si="38"/>
        <v>5.476190476190477</v>
      </c>
      <c r="AG37" s="4">
        <f t="shared" si="39"/>
        <v>21.985714285714288</v>
      </c>
      <c r="AH37" s="4">
        <f t="shared" si="40"/>
        <v>1</v>
      </c>
      <c r="AI37" s="4">
        <f t="shared" si="41"/>
        <v>1.4</v>
      </c>
      <c r="AJ37" s="4">
        <f t="shared" si="42"/>
        <v>1.1</v>
      </c>
      <c r="AK37" s="4">
        <f t="shared" si="43"/>
        <v>1.1</v>
      </c>
      <c r="AL37" s="4">
        <f t="shared" si="44"/>
        <v>0</v>
      </c>
      <c r="AM37" s="5">
        <v>1</v>
      </c>
      <c r="AO37" s="4">
        <f t="shared" si="45"/>
        <v>37.24380000000001</v>
      </c>
    </row>
    <row r="38" spans="1:41" ht="12.75">
      <c r="A38" s="17" t="s">
        <v>378</v>
      </c>
      <c r="B38" s="12" t="s">
        <v>377</v>
      </c>
      <c r="C38" s="9">
        <f t="shared" si="14"/>
        <v>46.433828571428585</v>
      </c>
      <c r="D38" s="17" t="s">
        <v>4</v>
      </c>
      <c r="E38" s="3" t="s">
        <v>12</v>
      </c>
      <c r="F38" s="7">
        <v>0</v>
      </c>
      <c r="G38" s="3" t="s">
        <v>11</v>
      </c>
      <c r="H38" s="3" t="s">
        <v>2</v>
      </c>
      <c r="I38" s="3"/>
      <c r="J38" s="3" t="s">
        <v>2</v>
      </c>
      <c r="K38" s="3"/>
      <c r="L38" s="3"/>
      <c r="M38" s="3"/>
      <c r="N38" s="10" t="str">
        <f t="shared" si="31"/>
        <v>1/2</v>
      </c>
      <c r="O38" s="10">
        <v>5</v>
      </c>
      <c r="P38" s="10">
        <v>2</v>
      </c>
      <c r="Q38" s="10">
        <v>-10</v>
      </c>
      <c r="R38" s="10">
        <v>-26</v>
      </c>
      <c r="S38" s="9">
        <f t="shared" si="32"/>
        <v>0</v>
      </c>
      <c r="T38" s="9">
        <f t="shared" si="33"/>
        <v>1</v>
      </c>
      <c r="U38" s="9">
        <f t="shared" si="34"/>
        <v>1</v>
      </c>
      <c r="V38" s="9">
        <f t="shared" si="15"/>
        <v>-8</v>
      </c>
      <c r="W38" s="7">
        <v>240</v>
      </c>
      <c r="X38" s="4" t="s">
        <v>21</v>
      </c>
      <c r="Y38" s="14" t="s">
        <v>376</v>
      </c>
      <c r="Z38" s="3" t="str">
        <f t="shared" si="35"/>
        <v>2d10+12</v>
      </c>
      <c r="AB38" s="5">
        <v>23</v>
      </c>
      <c r="AC38" s="7">
        <f t="shared" si="36"/>
        <v>19</v>
      </c>
      <c r="AD38" s="6">
        <f t="shared" si="37"/>
        <v>1.4</v>
      </c>
      <c r="AE38" s="5">
        <v>3</v>
      </c>
      <c r="AF38" s="4">
        <f t="shared" si="38"/>
        <v>5.476190476190477</v>
      </c>
      <c r="AG38" s="4">
        <f t="shared" si="39"/>
        <v>21.985714285714288</v>
      </c>
      <c r="AH38" s="4">
        <f t="shared" si="40"/>
        <v>1</v>
      </c>
      <c r="AI38" s="4">
        <f t="shared" si="41"/>
        <v>1.4</v>
      </c>
      <c r="AJ38" s="4">
        <f t="shared" si="42"/>
        <v>1.2</v>
      </c>
      <c r="AK38" s="4">
        <f t="shared" si="43"/>
        <v>1.1</v>
      </c>
      <c r="AL38" s="4">
        <f t="shared" si="44"/>
        <v>0</v>
      </c>
      <c r="AM38" s="5">
        <v>1</v>
      </c>
      <c r="AO38" s="4">
        <f t="shared" si="45"/>
        <v>40.6296</v>
      </c>
    </row>
    <row r="39" spans="1:41" ht="12.75">
      <c r="A39" s="17" t="s">
        <v>374</v>
      </c>
      <c r="B39" s="12" t="s">
        <v>375</v>
      </c>
      <c r="C39" s="9">
        <f t="shared" si="14"/>
        <v>13.88571428571429</v>
      </c>
      <c r="D39" s="17" t="s">
        <v>4</v>
      </c>
      <c r="E39" s="3" t="s">
        <v>12</v>
      </c>
      <c r="F39" s="7">
        <v>0</v>
      </c>
      <c r="G39" s="3" t="s">
        <v>11</v>
      </c>
      <c r="H39" s="3"/>
      <c r="I39" s="3"/>
      <c r="J39" s="3"/>
      <c r="K39" s="3" t="s">
        <v>2</v>
      </c>
      <c r="L39" s="3"/>
      <c r="M39" s="3"/>
      <c r="N39" s="10" t="str">
        <f t="shared" si="31"/>
        <v>1/2</v>
      </c>
      <c r="O39" s="10">
        <v>5</v>
      </c>
      <c r="P39" s="10">
        <v>2</v>
      </c>
      <c r="Q39" s="10">
        <v>-10</v>
      </c>
      <c r="R39" s="10">
        <v>-26</v>
      </c>
      <c r="S39" s="9">
        <f t="shared" si="32"/>
        <v>0</v>
      </c>
      <c r="T39" s="9">
        <f t="shared" si="33"/>
        <v>1</v>
      </c>
      <c r="U39" s="9">
        <f t="shared" si="34"/>
        <v>1</v>
      </c>
      <c r="V39" s="9">
        <f t="shared" si="15"/>
        <v>-8</v>
      </c>
      <c r="W39" s="7">
        <v>120</v>
      </c>
      <c r="X39" s="4" t="s">
        <v>2</v>
      </c>
      <c r="Y39" s="14" t="s">
        <v>81</v>
      </c>
      <c r="Z39" s="3" t="str">
        <f t="shared" si="35"/>
        <v>d10+12</v>
      </c>
      <c r="AB39" s="5">
        <v>17.5</v>
      </c>
      <c r="AC39" s="7">
        <f t="shared" si="36"/>
        <v>13.5</v>
      </c>
      <c r="AD39" s="6">
        <f t="shared" si="37"/>
        <v>1.4</v>
      </c>
      <c r="AE39" s="5">
        <v>5</v>
      </c>
      <c r="AF39" s="4">
        <f t="shared" si="38"/>
        <v>2.5</v>
      </c>
      <c r="AG39" s="4">
        <f t="shared" si="39"/>
        <v>9.642857142857144</v>
      </c>
      <c r="AH39" s="4">
        <f t="shared" si="40"/>
        <v>1</v>
      </c>
      <c r="AI39" s="4">
        <f t="shared" si="41"/>
        <v>1.4</v>
      </c>
      <c r="AJ39" s="4">
        <f t="shared" si="42"/>
        <v>1</v>
      </c>
      <c r="AK39" s="4">
        <f t="shared" si="43"/>
        <v>0.9</v>
      </c>
      <c r="AL39" s="4">
        <f t="shared" si="44"/>
        <v>0</v>
      </c>
      <c r="AM39" s="5">
        <v>1</v>
      </c>
      <c r="AO39" s="4">
        <f t="shared" si="45"/>
        <v>12.150000000000002</v>
      </c>
    </row>
    <row r="40" spans="1:41" ht="12.75">
      <c r="A40" s="17" t="s">
        <v>374</v>
      </c>
      <c r="B40" s="12" t="s">
        <v>373</v>
      </c>
      <c r="C40" s="9">
        <f t="shared" si="14"/>
        <v>16.662857142857145</v>
      </c>
      <c r="D40" s="17" t="s">
        <v>4</v>
      </c>
      <c r="E40" s="3" t="s">
        <v>12</v>
      </c>
      <c r="F40" s="7">
        <v>0</v>
      </c>
      <c r="G40" s="3" t="s">
        <v>11</v>
      </c>
      <c r="H40" s="3"/>
      <c r="I40" s="3"/>
      <c r="J40" s="3"/>
      <c r="K40" s="3" t="s">
        <v>2</v>
      </c>
      <c r="L40" s="3"/>
      <c r="M40" s="3"/>
      <c r="N40" s="10" t="str">
        <f t="shared" si="31"/>
        <v>1/2</v>
      </c>
      <c r="O40" s="10">
        <v>5</v>
      </c>
      <c r="P40" s="10">
        <v>2</v>
      </c>
      <c r="Q40" s="10">
        <v>-10</v>
      </c>
      <c r="R40" s="10">
        <v>-26</v>
      </c>
      <c r="S40" s="9">
        <f t="shared" si="32"/>
        <v>0</v>
      </c>
      <c r="T40" s="9">
        <f t="shared" si="33"/>
        <v>1</v>
      </c>
      <c r="U40" s="9">
        <f t="shared" si="34"/>
        <v>1</v>
      </c>
      <c r="V40" s="9">
        <f t="shared" si="15"/>
        <v>-8</v>
      </c>
      <c r="W40" s="7">
        <v>240</v>
      </c>
      <c r="X40" s="4" t="s">
        <v>2</v>
      </c>
      <c r="Y40" s="14" t="s">
        <v>81</v>
      </c>
      <c r="Z40" s="3" t="str">
        <f t="shared" si="35"/>
        <v>d10+12</v>
      </c>
      <c r="AB40" s="5">
        <v>17.5</v>
      </c>
      <c r="AC40" s="7">
        <f t="shared" si="36"/>
        <v>13.5</v>
      </c>
      <c r="AD40" s="6">
        <f t="shared" si="37"/>
        <v>1.4</v>
      </c>
      <c r="AE40" s="5">
        <v>5</v>
      </c>
      <c r="AF40" s="4">
        <f t="shared" si="38"/>
        <v>2.5</v>
      </c>
      <c r="AG40" s="4">
        <f t="shared" si="39"/>
        <v>9.642857142857144</v>
      </c>
      <c r="AH40" s="4">
        <f t="shared" si="40"/>
        <v>1</v>
      </c>
      <c r="AI40" s="4">
        <f t="shared" si="41"/>
        <v>1.4</v>
      </c>
      <c r="AJ40" s="4">
        <f t="shared" si="42"/>
        <v>1.2</v>
      </c>
      <c r="AK40" s="4">
        <f t="shared" si="43"/>
        <v>0.9</v>
      </c>
      <c r="AL40" s="4">
        <f t="shared" si="44"/>
        <v>0</v>
      </c>
      <c r="AM40" s="5">
        <v>1</v>
      </c>
      <c r="AO40" s="4">
        <f t="shared" si="45"/>
        <v>14.580000000000004</v>
      </c>
    </row>
    <row r="41" spans="1:41" ht="12.75">
      <c r="A41" s="17" t="s">
        <v>371</v>
      </c>
      <c r="B41" s="12" t="s">
        <v>372</v>
      </c>
      <c r="C41" s="9">
        <f t="shared" si="14"/>
        <v>7.9695</v>
      </c>
      <c r="D41" s="17" t="s">
        <v>4</v>
      </c>
      <c r="E41" s="3" t="s">
        <v>8</v>
      </c>
      <c r="F41" s="7">
        <v>-1</v>
      </c>
      <c r="G41" s="3" t="s">
        <v>3</v>
      </c>
      <c r="H41" s="3"/>
      <c r="I41" s="3"/>
      <c r="J41" s="3"/>
      <c r="K41" s="3" t="s">
        <v>2</v>
      </c>
      <c r="L41" s="3"/>
      <c r="M41" s="3"/>
      <c r="N41" s="10" t="str">
        <f t="shared" si="31"/>
        <v>2/3</v>
      </c>
      <c r="O41" s="10">
        <v>9</v>
      </c>
      <c r="P41" s="10">
        <v>-8</v>
      </c>
      <c r="Q41" s="10">
        <v>-28</v>
      </c>
      <c r="R41" s="10">
        <v>-61</v>
      </c>
      <c r="S41" s="9">
        <f t="shared" si="32"/>
        <v>0</v>
      </c>
      <c r="T41" s="9">
        <f t="shared" si="33"/>
        <v>2</v>
      </c>
      <c r="U41" s="9">
        <f t="shared" si="34"/>
        <v>3</v>
      </c>
      <c r="V41" s="9">
        <f t="shared" si="15"/>
        <v>-17</v>
      </c>
      <c r="W41" s="7">
        <v>120</v>
      </c>
      <c r="X41" s="4" t="s">
        <v>2</v>
      </c>
      <c r="Y41" s="14" t="s">
        <v>0</v>
      </c>
      <c r="Z41" s="3" t="str">
        <f t="shared" si="35"/>
        <v>2d10</v>
      </c>
      <c r="AB41" s="5">
        <v>11</v>
      </c>
      <c r="AC41" s="7">
        <f t="shared" si="36"/>
        <v>7</v>
      </c>
      <c r="AD41" s="6">
        <f t="shared" si="37"/>
        <v>1</v>
      </c>
      <c r="AE41" s="5">
        <v>4</v>
      </c>
      <c r="AF41" s="4">
        <f t="shared" si="38"/>
        <v>2.75</v>
      </c>
      <c r="AG41" s="4">
        <f t="shared" si="39"/>
        <v>7</v>
      </c>
      <c r="AH41" s="4">
        <f>VLOOKUP(U41,FireControl,2)</f>
        <v>1.23</v>
      </c>
      <c r="AI41" s="4">
        <f t="shared" si="41"/>
        <v>1.25</v>
      </c>
      <c r="AJ41" s="4">
        <f t="shared" si="42"/>
        <v>1</v>
      </c>
      <c r="AK41" s="4">
        <f t="shared" si="43"/>
        <v>0.9</v>
      </c>
      <c r="AL41" s="4">
        <f t="shared" si="44"/>
        <v>1</v>
      </c>
      <c r="AM41" s="5">
        <v>1</v>
      </c>
      <c r="AO41" s="4">
        <f t="shared" si="45"/>
        <v>10.18625</v>
      </c>
    </row>
    <row r="42" spans="1:41" ht="12.75">
      <c r="A42" s="17" t="s">
        <v>371</v>
      </c>
      <c r="B42" s="12" t="s">
        <v>370</v>
      </c>
      <c r="C42" s="9">
        <f t="shared" si="14"/>
        <v>8.76645</v>
      </c>
      <c r="D42" s="17" t="s">
        <v>4</v>
      </c>
      <c r="E42" s="3" t="s">
        <v>8</v>
      </c>
      <c r="F42" s="7">
        <v>-1</v>
      </c>
      <c r="G42" s="3" t="s">
        <v>3</v>
      </c>
      <c r="H42" s="3"/>
      <c r="I42" s="3"/>
      <c r="J42" s="3"/>
      <c r="K42" s="3" t="s">
        <v>2</v>
      </c>
      <c r="L42" s="3"/>
      <c r="M42" s="3"/>
      <c r="N42" s="10" t="str">
        <f t="shared" si="31"/>
        <v>2/3</v>
      </c>
      <c r="O42" s="10">
        <v>9</v>
      </c>
      <c r="P42" s="10">
        <v>-8</v>
      </c>
      <c r="Q42" s="10">
        <v>-28</v>
      </c>
      <c r="R42" s="10">
        <v>-61</v>
      </c>
      <c r="S42" s="9">
        <f t="shared" si="32"/>
        <v>0</v>
      </c>
      <c r="T42" s="9">
        <f t="shared" si="33"/>
        <v>2</v>
      </c>
      <c r="U42" s="9">
        <f t="shared" si="34"/>
        <v>3</v>
      </c>
      <c r="V42" s="9">
        <f t="shared" si="15"/>
        <v>-17</v>
      </c>
      <c r="W42" s="7">
        <v>180</v>
      </c>
      <c r="X42" s="4" t="s">
        <v>2</v>
      </c>
      <c r="Y42" s="14" t="s">
        <v>0</v>
      </c>
      <c r="Z42" s="3" t="str">
        <f t="shared" si="35"/>
        <v>2d10</v>
      </c>
      <c r="AB42" s="5">
        <v>11</v>
      </c>
      <c r="AC42" s="7">
        <f t="shared" si="36"/>
        <v>7</v>
      </c>
      <c r="AD42" s="6">
        <f t="shared" si="37"/>
        <v>1</v>
      </c>
      <c r="AE42" s="5">
        <v>4</v>
      </c>
      <c r="AF42" s="4">
        <f t="shared" si="38"/>
        <v>2.75</v>
      </c>
      <c r="AG42" s="4">
        <f t="shared" si="39"/>
        <v>7</v>
      </c>
      <c r="AH42" s="4">
        <f>VLOOKUP(U42,FireControl,2)</f>
        <v>1.23</v>
      </c>
      <c r="AI42" s="4">
        <f t="shared" si="41"/>
        <v>1.25</v>
      </c>
      <c r="AJ42" s="4">
        <f t="shared" si="42"/>
        <v>1.1</v>
      </c>
      <c r="AK42" s="4">
        <f t="shared" si="43"/>
        <v>0.9</v>
      </c>
      <c r="AL42" s="4">
        <f t="shared" si="44"/>
        <v>1</v>
      </c>
      <c r="AM42" s="5">
        <v>1</v>
      </c>
      <c r="AO42" s="4">
        <f t="shared" si="45"/>
        <v>11.154875</v>
      </c>
    </row>
    <row r="43" spans="1:41" ht="12.75">
      <c r="A43" s="17" t="s">
        <v>367</v>
      </c>
      <c r="B43" s="12" t="s">
        <v>368</v>
      </c>
      <c r="C43" s="9">
        <f t="shared" si="14"/>
        <v>20.592000000000006</v>
      </c>
      <c r="D43" s="17" t="s">
        <v>131</v>
      </c>
      <c r="E43" s="3" t="s">
        <v>16</v>
      </c>
      <c r="F43" s="7">
        <v>-1</v>
      </c>
      <c r="G43" s="3" t="s">
        <v>3</v>
      </c>
      <c r="H43" s="3"/>
      <c r="I43" s="3"/>
      <c r="J43" s="3"/>
      <c r="K43" s="3" t="s">
        <v>2</v>
      </c>
      <c r="L43" s="3"/>
      <c r="M43" s="3"/>
      <c r="N43" s="10" t="str">
        <f t="shared" si="31"/>
        <v>1/2</v>
      </c>
      <c r="O43" s="10">
        <v>5</v>
      </c>
      <c r="P43" s="10">
        <v>2</v>
      </c>
      <c r="Q43" s="10">
        <v>-10</v>
      </c>
      <c r="R43" s="10">
        <v>-26</v>
      </c>
      <c r="S43" s="9">
        <f t="shared" si="32"/>
        <v>0</v>
      </c>
      <c r="T43" s="9">
        <f t="shared" si="33"/>
        <v>0</v>
      </c>
      <c r="U43" s="9">
        <f t="shared" si="34"/>
        <v>-1</v>
      </c>
      <c r="V43" s="9">
        <f t="shared" si="15"/>
        <v>-8</v>
      </c>
      <c r="W43" s="7">
        <v>120</v>
      </c>
      <c r="X43" s="4" t="s">
        <v>2</v>
      </c>
      <c r="Y43" s="8" t="s">
        <v>365</v>
      </c>
      <c r="Z43" s="3" t="str">
        <f t="shared" si="35"/>
        <v>2d10+6</v>
      </c>
      <c r="AB43" s="5">
        <v>17</v>
      </c>
      <c r="AC43" s="7">
        <f t="shared" si="36"/>
        <v>13</v>
      </c>
      <c r="AD43" s="6">
        <f t="shared" si="37"/>
        <v>1</v>
      </c>
      <c r="AE43" s="5">
        <v>4</v>
      </c>
      <c r="AF43" s="4">
        <f t="shared" si="38"/>
        <v>4.25</v>
      </c>
      <c r="AG43" s="4">
        <f t="shared" si="39"/>
        <v>13</v>
      </c>
      <c r="AH43" s="4">
        <f>VLOOKUP(S43,FireControl,2)</f>
        <v>1</v>
      </c>
      <c r="AI43" s="4">
        <f t="shared" si="41"/>
        <v>1.4</v>
      </c>
      <c r="AJ43" s="4">
        <f t="shared" si="42"/>
        <v>1</v>
      </c>
      <c r="AK43" s="4">
        <f t="shared" si="43"/>
        <v>0.9</v>
      </c>
      <c r="AL43" s="4">
        <f t="shared" si="44"/>
        <v>1</v>
      </c>
      <c r="AM43" s="5">
        <v>1</v>
      </c>
      <c r="AO43" s="4">
        <f t="shared" si="45"/>
        <v>16.88</v>
      </c>
    </row>
    <row r="44" spans="1:41" ht="12.75">
      <c r="A44" s="17" t="s">
        <v>367</v>
      </c>
      <c r="B44" s="12" t="s">
        <v>366</v>
      </c>
      <c r="C44" s="9">
        <f t="shared" si="14"/>
        <v>24.710400000000003</v>
      </c>
      <c r="D44" s="17" t="s">
        <v>131</v>
      </c>
      <c r="E44" s="3" t="s">
        <v>16</v>
      </c>
      <c r="F44" s="7">
        <v>-1</v>
      </c>
      <c r="G44" s="3" t="s">
        <v>3</v>
      </c>
      <c r="H44" s="3"/>
      <c r="I44" s="3"/>
      <c r="J44" s="3"/>
      <c r="K44" s="3" t="s">
        <v>2</v>
      </c>
      <c r="L44" s="3"/>
      <c r="M44" s="3"/>
      <c r="N44" s="10" t="str">
        <f t="shared" si="31"/>
        <v>1/2</v>
      </c>
      <c r="O44" s="10">
        <v>5</v>
      </c>
      <c r="P44" s="10">
        <v>2</v>
      </c>
      <c r="Q44" s="10">
        <v>-10</v>
      </c>
      <c r="R44" s="10">
        <v>-26</v>
      </c>
      <c r="S44" s="9">
        <f t="shared" si="32"/>
        <v>0</v>
      </c>
      <c r="T44" s="9">
        <f t="shared" si="33"/>
        <v>0</v>
      </c>
      <c r="U44" s="9">
        <f t="shared" si="34"/>
        <v>-1</v>
      </c>
      <c r="V44" s="9">
        <f t="shared" si="15"/>
        <v>-8</v>
      </c>
      <c r="W44" s="7">
        <v>240</v>
      </c>
      <c r="X44" s="4" t="s">
        <v>2</v>
      </c>
      <c r="Y44" s="8" t="s">
        <v>365</v>
      </c>
      <c r="Z44" s="3" t="str">
        <f t="shared" si="35"/>
        <v>2d10+6</v>
      </c>
      <c r="AB44" s="5">
        <v>17</v>
      </c>
      <c r="AC44" s="7">
        <f t="shared" si="36"/>
        <v>13</v>
      </c>
      <c r="AD44" s="6">
        <f t="shared" si="37"/>
        <v>1</v>
      </c>
      <c r="AE44" s="5">
        <v>4</v>
      </c>
      <c r="AF44" s="4">
        <f t="shared" si="38"/>
        <v>4.25</v>
      </c>
      <c r="AG44" s="4">
        <f t="shared" si="39"/>
        <v>13</v>
      </c>
      <c r="AH44" s="4">
        <f>VLOOKUP(S44,FireControl,2)</f>
        <v>1</v>
      </c>
      <c r="AI44" s="4">
        <f t="shared" si="41"/>
        <v>1.4</v>
      </c>
      <c r="AJ44" s="4">
        <f t="shared" si="42"/>
        <v>1.2</v>
      </c>
      <c r="AK44" s="4">
        <f t="shared" si="43"/>
        <v>0.9</v>
      </c>
      <c r="AL44" s="4">
        <f t="shared" si="44"/>
        <v>1</v>
      </c>
      <c r="AM44" s="5">
        <v>1</v>
      </c>
      <c r="AO44" s="4">
        <f t="shared" si="45"/>
        <v>20.156</v>
      </c>
    </row>
    <row r="45" spans="1:41" ht="12.75">
      <c r="A45" s="17"/>
      <c r="B45" s="12"/>
      <c r="C45" s="9">
        <f t="shared" si="14"/>
        <v>0</v>
      </c>
      <c r="E45" s="3"/>
      <c r="F45" s="7"/>
      <c r="G45" s="5"/>
      <c r="H45" s="5"/>
      <c r="I45" s="5"/>
      <c r="J45" s="5"/>
      <c r="K45" s="5"/>
      <c r="L45" s="5"/>
      <c r="M45" s="5"/>
      <c r="N45" s="10"/>
      <c r="O45" s="10"/>
      <c r="P45" s="10"/>
      <c r="Q45" s="10"/>
      <c r="R45" s="10"/>
      <c r="S45" s="9"/>
      <c r="T45" s="9"/>
      <c r="U45" s="9"/>
      <c r="V45" s="9">
        <f t="shared" si="15"/>
        <v>0</v>
      </c>
      <c r="W45" s="7"/>
      <c r="X45" s="4"/>
      <c r="Y45" s="14"/>
      <c r="Z45" s="5"/>
      <c r="AB45" s="5"/>
      <c r="AC45" s="7"/>
      <c r="AD45" s="6"/>
      <c r="AE45" s="5"/>
      <c r="AF45" s="4"/>
      <c r="AG45" s="4"/>
      <c r="AH45" s="4"/>
      <c r="AI45" s="4"/>
      <c r="AJ45" s="7"/>
      <c r="AK45" s="4"/>
      <c r="AL45" s="4"/>
      <c r="AO45" s="4"/>
    </row>
    <row r="46" spans="1:41" ht="12.75">
      <c r="A46" s="21" t="s">
        <v>364</v>
      </c>
      <c r="B46" s="12"/>
      <c r="C46" s="9">
        <f t="shared" si="14"/>
        <v>0</v>
      </c>
      <c r="E46" s="3"/>
      <c r="F46" s="7"/>
      <c r="G46" s="5"/>
      <c r="H46" s="5"/>
      <c r="I46" s="5"/>
      <c r="J46" s="5"/>
      <c r="K46" s="5"/>
      <c r="L46" s="5"/>
      <c r="M46" s="5"/>
      <c r="N46" s="10"/>
      <c r="O46" s="10"/>
      <c r="P46" s="10"/>
      <c r="Q46" s="10"/>
      <c r="R46" s="10"/>
      <c r="S46" s="9"/>
      <c r="T46" s="9"/>
      <c r="U46" s="9"/>
      <c r="V46" s="9">
        <f t="shared" si="15"/>
        <v>0</v>
      </c>
      <c r="W46" s="7"/>
      <c r="X46" s="4"/>
      <c r="Y46" s="14"/>
      <c r="Z46" s="5"/>
      <c r="AB46" s="5"/>
      <c r="AC46" s="1" t="s">
        <v>363</v>
      </c>
      <c r="AD46" s="6"/>
      <c r="AE46" s="5"/>
      <c r="AF46" s="4"/>
      <c r="AG46" s="4"/>
      <c r="AH46" s="4"/>
      <c r="AI46" s="4"/>
      <c r="AJ46" s="7"/>
      <c r="AK46" s="4"/>
      <c r="AL46" s="4"/>
      <c r="AO46" s="4"/>
    </row>
    <row r="47" spans="1:41" ht="12.75">
      <c r="A47" s="17" t="s">
        <v>362</v>
      </c>
      <c r="B47" s="17" t="s">
        <v>361</v>
      </c>
      <c r="C47" s="9">
        <f t="shared" si="14"/>
        <v>62.82883832335331</v>
      </c>
      <c r="D47" t="s">
        <v>31</v>
      </c>
      <c r="E47" s="3" t="s">
        <v>16</v>
      </c>
      <c r="F47" s="7">
        <v>-1</v>
      </c>
      <c r="G47" s="3" t="s">
        <v>15</v>
      </c>
      <c r="H47" s="3"/>
      <c r="I47" s="3"/>
      <c r="J47" s="3"/>
      <c r="K47" s="3"/>
      <c r="L47" s="3" t="s">
        <v>2</v>
      </c>
      <c r="M47" s="3"/>
      <c r="N47" s="10" t="str">
        <f aca="true" t="shared" si="46" ref="N47:N54">VLOOKUP(D47,Weapon_range,(VLOOKUP(E47,weapon_size_col,2,FALSE)),FALSE)</f>
        <v>2/3</v>
      </c>
      <c r="O47" s="10">
        <v>3</v>
      </c>
      <c r="P47" s="10">
        <v>2</v>
      </c>
      <c r="Q47" s="10">
        <v>-9</v>
      </c>
      <c r="R47" s="10">
        <v>-24</v>
      </c>
      <c r="S47" s="9">
        <f aca="true" t="shared" si="47" ref="S47:S55">VLOOKUP($D47,Weapon_mode,2,FALSE)+VLOOKUP($E47,Weapon_size,2,FALSE)</f>
        <v>0</v>
      </c>
      <c r="T47" s="9">
        <f aca="true" t="shared" si="48" ref="T47:T55">VLOOKUP($D47,Weapon_mode,3,FALSE)++VLOOKUP($E47,Weapon_size,3,FALSE)</f>
        <v>-1</v>
      </c>
      <c r="U47" s="9">
        <f aca="true" t="shared" si="49" ref="U47:U55">VLOOKUP($D47,Weapon_mode,4,FALSE)+VLOOKUP($E47,Weapon_size,4,FALSE)</f>
        <v>-3</v>
      </c>
      <c r="V47" s="9">
        <f t="shared" si="15"/>
        <v>-8</v>
      </c>
      <c r="W47" s="5">
        <v>240</v>
      </c>
      <c r="X47" s="5" t="s">
        <v>2</v>
      </c>
      <c r="Y47" s="17" t="s">
        <v>346</v>
      </c>
      <c r="Z47" s="5" t="s">
        <v>360</v>
      </c>
      <c r="AA47" s="5"/>
      <c r="AB47" s="5">
        <v>72</v>
      </c>
      <c r="AC47" s="7">
        <f>AB47-24</f>
        <v>48</v>
      </c>
      <c r="AD47" s="6">
        <f aca="true" t="shared" si="50" ref="AD47:AD54">VLOOKUP(G47,RoF,2,FALSE)</f>
        <v>1.67</v>
      </c>
      <c r="AE47" s="5">
        <v>1</v>
      </c>
      <c r="AF47" s="4">
        <f aca="true" t="shared" si="51" ref="AF47:AF54">AB47/(AD47*AE47)</f>
        <v>43.11377245508982</v>
      </c>
      <c r="AG47" s="4">
        <f aca="true" t="shared" si="52" ref="AG47:AG54">AC47/AD47*IF(H47="Y",raking,1)*IF(I47="Y",Pierce,1)*IF(J47="Y",Sustained,1)*IF(K47="Y",standard,1)*IF(L47="Y",Pulse,1)*IF(M47="Y",Flash,1)</f>
        <v>33.053892215568865</v>
      </c>
      <c r="AH47" s="4">
        <f>VLOOKUP(S47,FireControl,2)</f>
        <v>1</v>
      </c>
      <c r="AI47" s="4">
        <f aca="true" t="shared" si="53" ref="AI47:AI54">VLOOKUP(N47,Range,2,FALSE)</f>
        <v>1.25</v>
      </c>
      <c r="AJ47" s="4">
        <f aca="true" t="shared" si="54" ref="AJ47:AJ54">VLOOKUP(W47,Arc,2,FALSE)</f>
        <v>1.2</v>
      </c>
      <c r="AK47" s="4">
        <f aca="true" t="shared" si="55" ref="AK47:AK54">VLOOKUP(X47,Interceptable,2,FALSE)</f>
        <v>0.9</v>
      </c>
      <c r="AL47" s="4">
        <f aca="true" t="shared" si="56" ref="AL47:AL54">VLOOKUP(F47,Interceptability,2,FALSE)</f>
        <v>1</v>
      </c>
      <c r="AM47" s="5">
        <v>1</v>
      </c>
      <c r="AO47" s="4">
        <f aca="true" t="shared" si="57" ref="AO47:AO55">MAX(AG47*AH47*AI47*AJ47*AK47*AM47,AL47)+MIN(AG47*AH47*AI47*AJ47*AK47,AL47)/2</f>
        <v>45.122754491017965</v>
      </c>
    </row>
    <row r="48" spans="1:41" ht="12.75">
      <c r="A48" s="28" t="s">
        <v>359</v>
      </c>
      <c r="B48" s="12" t="s">
        <v>358</v>
      </c>
      <c r="C48" s="9">
        <f t="shared" si="14"/>
        <v>54.25055999999999</v>
      </c>
      <c r="D48" t="s">
        <v>31</v>
      </c>
      <c r="E48" s="3" t="s">
        <v>12</v>
      </c>
      <c r="F48" s="7">
        <v>-3</v>
      </c>
      <c r="G48" s="3" t="s">
        <v>3</v>
      </c>
      <c r="H48" s="3"/>
      <c r="I48" s="3"/>
      <c r="J48" s="3"/>
      <c r="K48" s="3"/>
      <c r="L48" s="3" t="s">
        <v>2</v>
      </c>
      <c r="M48" s="3"/>
      <c r="N48" s="10" t="str">
        <f t="shared" si="46"/>
        <v>1/1</v>
      </c>
      <c r="O48" s="10">
        <v>4</v>
      </c>
      <c r="P48" s="10">
        <v>-1</v>
      </c>
      <c r="Q48" s="10">
        <v>-15</v>
      </c>
      <c r="R48" s="10">
        <v>-35</v>
      </c>
      <c r="S48" s="9">
        <f t="shared" si="47"/>
        <v>-1</v>
      </c>
      <c r="T48" s="9">
        <f t="shared" si="48"/>
        <v>-1</v>
      </c>
      <c r="U48" s="9">
        <f t="shared" si="49"/>
        <v>-2</v>
      </c>
      <c r="V48" s="9">
        <f t="shared" si="15"/>
        <v>-12</v>
      </c>
      <c r="W48" s="7">
        <v>240</v>
      </c>
      <c r="X48" s="4" t="s">
        <v>2</v>
      </c>
      <c r="Y48" s="8" t="s">
        <v>303</v>
      </c>
      <c r="Z48" s="3" t="s">
        <v>357</v>
      </c>
      <c r="AB48" s="5">
        <v>48</v>
      </c>
      <c r="AC48" s="7">
        <f>AB48-24</f>
        <v>24</v>
      </c>
      <c r="AD48" s="6">
        <f t="shared" si="50"/>
        <v>1</v>
      </c>
      <c r="AE48" s="5">
        <v>5</v>
      </c>
      <c r="AF48" s="4">
        <f t="shared" si="51"/>
        <v>9.6</v>
      </c>
      <c r="AG48" s="4">
        <f t="shared" si="52"/>
        <v>27.599999999999998</v>
      </c>
      <c r="AH48" s="4">
        <f>VLOOKUP(U48,FireControl,2)</f>
        <v>0.87</v>
      </c>
      <c r="AI48" s="4">
        <f t="shared" si="53"/>
        <v>1</v>
      </c>
      <c r="AJ48" s="4">
        <f t="shared" si="54"/>
        <v>1.2</v>
      </c>
      <c r="AK48" s="4">
        <f t="shared" si="55"/>
        <v>0.9</v>
      </c>
      <c r="AL48" s="4">
        <f t="shared" si="56"/>
        <v>3</v>
      </c>
      <c r="AM48" s="5">
        <v>1</v>
      </c>
      <c r="AO48" s="4">
        <f t="shared" si="57"/>
        <v>27.432959999999998</v>
      </c>
    </row>
    <row r="49" spans="1:41" ht="12.75">
      <c r="A49" s="17" t="s">
        <v>355</v>
      </c>
      <c r="B49" s="12" t="s">
        <v>356</v>
      </c>
      <c r="C49" s="9">
        <f t="shared" si="14"/>
        <v>29.807999999999993</v>
      </c>
      <c r="D49" t="s">
        <v>31</v>
      </c>
      <c r="E49" s="3" t="s">
        <v>12</v>
      </c>
      <c r="F49" s="7">
        <v>-2</v>
      </c>
      <c r="G49" s="3" t="s">
        <v>11</v>
      </c>
      <c r="H49" s="3"/>
      <c r="I49" s="3"/>
      <c r="J49" s="3"/>
      <c r="K49" s="3"/>
      <c r="L49" s="3" t="s">
        <v>2</v>
      </c>
      <c r="M49" s="3"/>
      <c r="N49" s="10" t="str">
        <f t="shared" si="46"/>
        <v>1/1</v>
      </c>
      <c r="O49" s="10">
        <v>4</v>
      </c>
      <c r="P49" s="10">
        <v>-1</v>
      </c>
      <c r="Q49" s="10">
        <v>-15</v>
      </c>
      <c r="R49" s="10">
        <v>-35</v>
      </c>
      <c r="S49" s="9">
        <f t="shared" si="47"/>
        <v>-1</v>
      </c>
      <c r="T49" s="9">
        <f t="shared" si="48"/>
        <v>-1</v>
      </c>
      <c r="U49" s="9">
        <f t="shared" si="49"/>
        <v>-2</v>
      </c>
      <c r="V49" s="9">
        <f t="shared" si="15"/>
        <v>-12</v>
      </c>
      <c r="W49" s="7">
        <v>120</v>
      </c>
      <c r="X49" s="4" t="s">
        <v>2</v>
      </c>
      <c r="Y49" s="8" t="s">
        <v>353</v>
      </c>
      <c r="Z49" s="3" t="s">
        <v>357</v>
      </c>
      <c r="AB49" s="5">
        <v>48</v>
      </c>
      <c r="AC49" s="7">
        <f>AB49-24</f>
        <v>24</v>
      </c>
      <c r="AD49" s="6">
        <f t="shared" si="50"/>
        <v>1.4</v>
      </c>
      <c r="AE49" s="5">
        <v>2</v>
      </c>
      <c r="AF49" s="4">
        <f t="shared" si="51"/>
        <v>17.142857142857142</v>
      </c>
      <c r="AG49" s="4">
        <f t="shared" si="52"/>
        <v>19.71428571428571</v>
      </c>
      <c r="AH49" s="4">
        <f aca="true" t="shared" si="58" ref="AH49:AH54">VLOOKUP(S49,FireControl,2)</f>
        <v>0.93</v>
      </c>
      <c r="AI49" s="4">
        <f t="shared" si="53"/>
        <v>1</v>
      </c>
      <c r="AJ49" s="4">
        <f t="shared" si="54"/>
        <v>1</v>
      </c>
      <c r="AK49" s="4">
        <f t="shared" si="55"/>
        <v>0.9</v>
      </c>
      <c r="AL49" s="4">
        <f t="shared" si="56"/>
        <v>2</v>
      </c>
      <c r="AM49" s="5">
        <v>1</v>
      </c>
      <c r="AO49" s="4">
        <f t="shared" si="57"/>
        <v>17.500857142857143</v>
      </c>
    </row>
    <row r="50" spans="1:41" ht="12.75">
      <c r="A50" s="17" t="s">
        <v>355</v>
      </c>
      <c r="B50" s="12" t="s">
        <v>354</v>
      </c>
      <c r="C50" s="9">
        <f t="shared" si="14"/>
        <v>26.827199999999994</v>
      </c>
      <c r="D50" t="s">
        <v>31</v>
      </c>
      <c r="E50" s="3" t="s">
        <v>12</v>
      </c>
      <c r="F50" s="7">
        <v>-2</v>
      </c>
      <c r="G50" s="3" t="s">
        <v>11</v>
      </c>
      <c r="H50" s="3"/>
      <c r="I50" s="3"/>
      <c r="J50" s="3"/>
      <c r="K50" s="3"/>
      <c r="L50" s="3" t="s">
        <v>2</v>
      </c>
      <c r="M50" s="3"/>
      <c r="N50" s="10" t="str">
        <f t="shared" si="46"/>
        <v>1/1</v>
      </c>
      <c r="O50" s="10">
        <v>4</v>
      </c>
      <c r="P50" s="10">
        <v>-1</v>
      </c>
      <c r="Q50" s="10">
        <v>-15</v>
      </c>
      <c r="R50" s="10">
        <v>-35</v>
      </c>
      <c r="S50" s="9">
        <f t="shared" si="47"/>
        <v>-1</v>
      </c>
      <c r="T50" s="9">
        <f t="shared" si="48"/>
        <v>-1</v>
      </c>
      <c r="U50" s="9">
        <f t="shared" si="49"/>
        <v>-2</v>
      </c>
      <c r="V50" s="9">
        <f t="shared" si="15"/>
        <v>-12</v>
      </c>
      <c r="W50" s="7">
        <v>60</v>
      </c>
      <c r="X50" s="4" t="s">
        <v>2</v>
      </c>
      <c r="Y50" s="8" t="s">
        <v>353</v>
      </c>
      <c r="Z50" s="3" t="s">
        <v>357</v>
      </c>
      <c r="AB50" s="5">
        <v>48</v>
      </c>
      <c r="AC50" s="7">
        <f>AB50-24</f>
        <v>24</v>
      </c>
      <c r="AD50" s="6">
        <f t="shared" si="50"/>
        <v>1.4</v>
      </c>
      <c r="AE50" s="5">
        <v>2</v>
      </c>
      <c r="AF50" s="4">
        <f t="shared" si="51"/>
        <v>17.142857142857142</v>
      </c>
      <c r="AG50" s="4">
        <f t="shared" si="52"/>
        <v>19.71428571428571</v>
      </c>
      <c r="AH50" s="4">
        <f t="shared" si="58"/>
        <v>0.93</v>
      </c>
      <c r="AI50" s="4">
        <f t="shared" si="53"/>
        <v>1</v>
      </c>
      <c r="AJ50" s="4">
        <f t="shared" si="54"/>
        <v>0.9</v>
      </c>
      <c r="AK50" s="4">
        <f t="shared" si="55"/>
        <v>0.9</v>
      </c>
      <c r="AL50" s="4">
        <f t="shared" si="56"/>
        <v>2</v>
      </c>
      <c r="AM50" s="5">
        <v>1</v>
      </c>
      <c r="AO50" s="4">
        <f t="shared" si="57"/>
        <v>15.850771428571429</v>
      </c>
    </row>
    <row r="51" spans="1:41" ht="12.75">
      <c r="A51" s="17" t="s">
        <v>352</v>
      </c>
      <c r="B51" s="12" t="s">
        <v>351</v>
      </c>
      <c r="C51" s="9">
        <f t="shared" si="14"/>
        <v>47.721556886227546</v>
      </c>
      <c r="D51" t="s">
        <v>131</v>
      </c>
      <c r="E51" s="3" t="s">
        <v>16</v>
      </c>
      <c r="F51" s="7">
        <v>-1</v>
      </c>
      <c r="G51" s="3" t="s">
        <v>15</v>
      </c>
      <c r="H51" s="3"/>
      <c r="I51" s="3"/>
      <c r="J51" s="3"/>
      <c r="K51" s="3"/>
      <c r="L51" s="3" t="s">
        <v>2</v>
      </c>
      <c r="M51" s="3"/>
      <c r="N51" s="10" t="str">
        <f t="shared" si="46"/>
        <v>1/2</v>
      </c>
      <c r="O51" s="10">
        <v>3</v>
      </c>
      <c r="P51" s="10">
        <v>4</v>
      </c>
      <c r="Q51" s="10">
        <v>-6</v>
      </c>
      <c r="R51" s="10">
        <v>-18</v>
      </c>
      <c r="S51" s="9">
        <f t="shared" si="47"/>
        <v>0</v>
      </c>
      <c r="T51" s="9">
        <f t="shared" si="48"/>
        <v>0</v>
      </c>
      <c r="U51" s="9">
        <f t="shared" si="49"/>
        <v>-1</v>
      </c>
      <c r="V51" s="9">
        <f t="shared" si="15"/>
        <v>-5</v>
      </c>
      <c r="W51" s="7">
        <v>120</v>
      </c>
      <c r="X51" s="4" t="s">
        <v>2</v>
      </c>
      <c r="Y51" s="8" t="s">
        <v>346</v>
      </c>
      <c r="Z51" s="3" t="s">
        <v>345</v>
      </c>
      <c r="AB51" s="5">
        <v>50</v>
      </c>
      <c r="AC51" s="7">
        <f>AB51-10</f>
        <v>40</v>
      </c>
      <c r="AD51" s="6">
        <f t="shared" si="50"/>
        <v>1.67</v>
      </c>
      <c r="AE51" s="5">
        <v>4</v>
      </c>
      <c r="AF51" s="4">
        <f t="shared" si="51"/>
        <v>7.485029940119761</v>
      </c>
      <c r="AG51" s="4">
        <f t="shared" si="52"/>
        <v>27.544910179640716</v>
      </c>
      <c r="AH51" s="4">
        <f t="shared" si="58"/>
        <v>1</v>
      </c>
      <c r="AI51" s="4">
        <f t="shared" si="53"/>
        <v>1.4</v>
      </c>
      <c r="AJ51" s="4">
        <f t="shared" si="54"/>
        <v>1</v>
      </c>
      <c r="AK51" s="4">
        <f t="shared" si="55"/>
        <v>0.9</v>
      </c>
      <c r="AL51" s="4">
        <f t="shared" si="56"/>
        <v>1</v>
      </c>
      <c r="AM51" s="5">
        <v>1</v>
      </c>
      <c r="AO51" s="4">
        <f t="shared" si="57"/>
        <v>35.2065868263473</v>
      </c>
    </row>
    <row r="52" spans="1:41" ht="12.75">
      <c r="A52" s="17" t="s">
        <v>350</v>
      </c>
      <c r="B52" s="12" t="s">
        <v>349</v>
      </c>
      <c r="C52" s="9">
        <f t="shared" si="14"/>
        <v>45.335479041916166</v>
      </c>
      <c r="D52" t="s">
        <v>131</v>
      </c>
      <c r="E52" s="3" t="s">
        <v>16</v>
      </c>
      <c r="F52" s="7">
        <v>-1</v>
      </c>
      <c r="G52" s="3" t="s">
        <v>15</v>
      </c>
      <c r="H52" s="3"/>
      <c r="I52" s="3"/>
      <c r="J52" s="3"/>
      <c r="K52" s="3"/>
      <c r="L52" s="3" t="s">
        <v>2</v>
      </c>
      <c r="M52" s="3"/>
      <c r="N52" s="10" t="str">
        <f t="shared" si="46"/>
        <v>1/2</v>
      </c>
      <c r="O52" s="10">
        <v>3</v>
      </c>
      <c r="P52" s="10">
        <v>4</v>
      </c>
      <c r="Q52" s="10">
        <v>-6</v>
      </c>
      <c r="R52" s="10">
        <v>-18</v>
      </c>
      <c r="S52" s="9">
        <f t="shared" si="47"/>
        <v>0</v>
      </c>
      <c r="T52" s="9">
        <f t="shared" si="48"/>
        <v>0</v>
      </c>
      <c r="U52" s="9">
        <f t="shared" si="49"/>
        <v>-1</v>
      </c>
      <c r="V52" s="9">
        <f t="shared" si="15"/>
        <v>-5</v>
      </c>
      <c r="W52" s="7">
        <v>90</v>
      </c>
      <c r="X52" s="4" t="s">
        <v>2</v>
      </c>
      <c r="Y52" s="8" t="s">
        <v>346</v>
      </c>
      <c r="Z52" s="3" t="s">
        <v>345</v>
      </c>
      <c r="AB52" s="5">
        <v>50</v>
      </c>
      <c r="AC52" s="7">
        <f>AB52-10</f>
        <v>40</v>
      </c>
      <c r="AD52" s="6">
        <f t="shared" si="50"/>
        <v>1.67</v>
      </c>
      <c r="AE52" s="5">
        <v>4</v>
      </c>
      <c r="AF52" s="4">
        <f t="shared" si="51"/>
        <v>7.485029940119761</v>
      </c>
      <c r="AG52" s="4">
        <f t="shared" si="52"/>
        <v>27.544910179640716</v>
      </c>
      <c r="AH52" s="4">
        <f t="shared" si="58"/>
        <v>1</v>
      </c>
      <c r="AI52" s="4">
        <f t="shared" si="53"/>
        <v>1.4</v>
      </c>
      <c r="AJ52" s="4">
        <f t="shared" si="54"/>
        <v>0.95</v>
      </c>
      <c r="AK52" s="4">
        <f t="shared" si="55"/>
        <v>0.9</v>
      </c>
      <c r="AL52" s="4">
        <f t="shared" si="56"/>
        <v>1</v>
      </c>
      <c r="AM52" s="5">
        <v>1</v>
      </c>
      <c r="AO52" s="4">
        <f t="shared" si="57"/>
        <v>33.47125748502994</v>
      </c>
    </row>
    <row r="53" spans="1:41" ht="12.75">
      <c r="A53" s="17" t="s">
        <v>348</v>
      </c>
      <c r="B53" s="12" t="s">
        <v>347</v>
      </c>
      <c r="C53" s="9">
        <f t="shared" si="14"/>
        <v>42.9494011976048</v>
      </c>
      <c r="D53" t="s">
        <v>131</v>
      </c>
      <c r="E53" s="3" t="s">
        <v>16</v>
      </c>
      <c r="F53" s="7">
        <v>-1</v>
      </c>
      <c r="G53" s="3" t="s">
        <v>15</v>
      </c>
      <c r="H53" s="3"/>
      <c r="I53" s="3"/>
      <c r="J53" s="3"/>
      <c r="K53" s="3"/>
      <c r="L53" s="3" t="s">
        <v>2</v>
      </c>
      <c r="M53" s="3"/>
      <c r="N53" s="10" t="str">
        <f t="shared" si="46"/>
        <v>1/2</v>
      </c>
      <c r="O53" s="10">
        <v>3</v>
      </c>
      <c r="P53" s="10">
        <v>4</v>
      </c>
      <c r="Q53" s="10">
        <v>-6</v>
      </c>
      <c r="R53" s="10">
        <v>-18</v>
      </c>
      <c r="S53" s="9">
        <f t="shared" si="47"/>
        <v>0</v>
      </c>
      <c r="T53" s="9">
        <f t="shared" si="48"/>
        <v>0</v>
      </c>
      <c r="U53" s="9">
        <f t="shared" si="49"/>
        <v>-1</v>
      </c>
      <c r="V53" s="9">
        <f t="shared" si="15"/>
        <v>-5</v>
      </c>
      <c r="W53" s="7">
        <v>60</v>
      </c>
      <c r="X53" s="4" t="s">
        <v>2</v>
      </c>
      <c r="Y53" s="8" t="s">
        <v>346</v>
      </c>
      <c r="Z53" s="3" t="s">
        <v>345</v>
      </c>
      <c r="AB53" s="5">
        <v>50</v>
      </c>
      <c r="AC53" s="7">
        <f>AB53-10</f>
        <v>40</v>
      </c>
      <c r="AD53" s="6">
        <f t="shared" si="50"/>
        <v>1.67</v>
      </c>
      <c r="AE53" s="5">
        <v>4</v>
      </c>
      <c r="AF53" s="4">
        <f t="shared" si="51"/>
        <v>7.485029940119761</v>
      </c>
      <c r="AG53" s="4">
        <f t="shared" si="52"/>
        <v>27.544910179640716</v>
      </c>
      <c r="AH53" s="4">
        <f t="shared" si="58"/>
        <v>1</v>
      </c>
      <c r="AI53" s="4">
        <f t="shared" si="53"/>
        <v>1.4</v>
      </c>
      <c r="AJ53" s="4">
        <f t="shared" si="54"/>
        <v>0.9</v>
      </c>
      <c r="AK53" s="4">
        <f t="shared" si="55"/>
        <v>0.9</v>
      </c>
      <c r="AL53" s="4">
        <f t="shared" si="56"/>
        <v>1</v>
      </c>
      <c r="AM53" s="5">
        <v>1</v>
      </c>
      <c r="AO53" s="4">
        <f t="shared" si="57"/>
        <v>31.73592814371257</v>
      </c>
    </row>
    <row r="54" spans="1:41" ht="12.75">
      <c r="A54" s="17" t="s">
        <v>344</v>
      </c>
      <c r="B54" s="12" t="s">
        <v>343</v>
      </c>
      <c r="C54" s="9">
        <f t="shared" si="14"/>
        <v>39.921428571428564</v>
      </c>
      <c r="D54" t="s">
        <v>131</v>
      </c>
      <c r="E54" s="3" t="s">
        <v>12</v>
      </c>
      <c r="F54" s="7">
        <v>-2</v>
      </c>
      <c r="G54" s="3" t="s">
        <v>11</v>
      </c>
      <c r="H54" s="3"/>
      <c r="I54" s="3"/>
      <c r="J54" s="3"/>
      <c r="K54" s="3"/>
      <c r="L54" s="3" t="s">
        <v>2</v>
      </c>
      <c r="M54" s="3"/>
      <c r="N54" s="10" t="str">
        <f t="shared" si="46"/>
        <v>2/3</v>
      </c>
      <c r="O54" s="10">
        <v>4</v>
      </c>
      <c r="P54" s="10">
        <v>0</v>
      </c>
      <c r="Q54" s="10">
        <v>-12</v>
      </c>
      <c r="R54" s="10">
        <v>-29</v>
      </c>
      <c r="S54" s="9">
        <f t="shared" si="47"/>
        <v>-1</v>
      </c>
      <c r="T54" s="9">
        <f t="shared" si="48"/>
        <v>0</v>
      </c>
      <c r="U54" s="9">
        <f t="shared" si="49"/>
        <v>0</v>
      </c>
      <c r="V54" s="9">
        <f t="shared" si="15"/>
        <v>-10</v>
      </c>
      <c r="W54" s="7">
        <v>120</v>
      </c>
      <c r="X54" s="4" t="s">
        <v>2</v>
      </c>
      <c r="Y54" s="8" t="s">
        <v>342</v>
      </c>
      <c r="Z54" s="3" t="s">
        <v>341</v>
      </c>
      <c r="AB54" s="5">
        <v>40</v>
      </c>
      <c r="AC54" s="7">
        <f>AB54-10</f>
        <v>30</v>
      </c>
      <c r="AD54" s="6">
        <f t="shared" si="50"/>
        <v>1.4</v>
      </c>
      <c r="AE54" s="5">
        <v>3</v>
      </c>
      <c r="AF54" s="4">
        <f t="shared" si="51"/>
        <v>9.523809523809526</v>
      </c>
      <c r="AG54" s="4">
        <f t="shared" si="52"/>
        <v>24.642857142857142</v>
      </c>
      <c r="AH54" s="4">
        <f t="shared" si="58"/>
        <v>0.93</v>
      </c>
      <c r="AI54" s="4">
        <f t="shared" si="53"/>
        <v>1.25</v>
      </c>
      <c r="AJ54" s="4">
        <f t="shared" si="54"/>
        <v>1</v>
      </c>
      <c r="AK54" s="4">
        <f t="shared" si="55"/>
        <v>0.9</v>
      </c>
      <c r="AL54" s="4">
        <f t="shared" si="56"/>
        <v>2</v>
      </c>
      <c r="AM54" s="5">
        <v>1</v>
      </c>
      <c r="AO54" s="4">
        <f t="shared" si="57"/>
        <v>26.782589285714288</v>
      </c>
    </row>
    <row r="55" spans="1:41" ht="12.75">
      <c r="A55" s="17" t="s">
        <v>344</v>
      </c>
      <c r="B55" s="12" t="s">
        <v>905</v>
      </c>
      <c r="C55" s="9">
        <f t="shared" si="14"/>
        <v>35.92928571428571</v>
      </c>
      <c r="D55" t="s">
        <v>131</v>
      </c>
      <c r="E55" s="3" t="s">
        <v>12</v>
      </c>
      <c r="F55" s="7">
        <v>-2</v>
      </c>
      <c r="G55" s="3" t="s">
        <v>11</v>
      </c>
      <c r="H55" s="3"/>
      <c r="I55" s="3"/>
      <c r="J55" s="3"/>
      <c r="K55" s="3"/>
      <c r="L55" s="3" t="s">
        <v>2</v>
      </c>
      <c r="M55" s="3"/>
      <c r="N55" s="10" t="str">
        <f>VLOOKUP(D55,Weapon_range,(VLOOKUP(E55,weapon_size_col,2,FALSE)),FALSE)</f>
        <v>2/3</v>
      </c>
      <c r="O55" s="10">
        <v>4</v>
      </c>
      <c r="P55" s="10">
        <v>0</v>
      </c>
      <c r="Q55" s="10">
        <v>-12</v>
      </c>
      <c r="R55" s="10">
        <v>-29</v>
      </c>
      <c r="S55" s="9">
        <f t="shared" si="47"/>
        <v>-1</v>
      </c>
      <c r="T55" s="9">
        <f t="shared" si="48"/>
        <v>0</v>
      </c>
      <c r="U55" s="9">
        <f t="shared" si="49"/>
        <v>0</v>
      </c>
      <c r="V55" s="9">
        <f t="shared" si="15"/>
        <v>-10</v>
      </c>
      <c r="W55" s="7">
        <v>60</v>
      </c>
      <c r="X55" s="4" t="s">
        <v>2</v>
      </c>
      <c r="Y55" s="8" t="s">
        <v>342</v>
      </c>
      <c r="Z55" s="3" t="s">
        <v>341</v>
      </c>
      <c r="AB55" s="5">
        <v>40</v>
      </c>
      <c r="AC55" s="7">
        <f>AB55-10</f>
        <v>30</v>
      </c>
      <c r="AD55" s="6">
        <f>VLOOKUP(G55,RoF,2,FALSE)</f>
        <v>1.4</v>
      </c>
      <c r="AE55" s="5">
        <v>3</v>
      </c>
      <c r="AF55" s="4">
        <f>AB55/(AD55*AE55)</f>
        <v>9.523809523809526</v>
      </c>
      <c r="AG55" s="4">
        <f>AC55/AD55*IF(H55="Y",raking,1)*IF(I55="Y",Pierce,1)*IF(J55="Y",Sustained,1)*IF(K55="Y",standard,1)*IF(L55="Y",Pulse,1)*IF(M55="Y",Flash,1)</f>
        <v>24.642857142857142</v>
      </c>
      <c r="AH55" s="4">
        <f>VLOOKUP(S55,FireControl,2)</f>
        <v>0.93</v>
      </c>
      <c r="AI55" s="4">
        <f>VLOOKUP(N55,Range,2,FALSE)</f>
        <v>1.25</v>
      </c>
      <c r="AJ55" s="4">
        <f>VLOOKUP(W55,Arc,2,FALSE)</f>
        <v>0.9</v>
      </c>
      <c r="AK55" s="4">
        <f>VLOOKUP(X55,Interceptable,2,FALSE)</f>
        <v>0.9</v>
      </c>
      <c r="AL55" s="4">
        <f>VLOOKUP(F55,Interceptability,2,FALSE)</f>
        <v>2</v>
      </c>
      <c r="AM55" s="5">
        <v>1</v>
      </c>
      <c r="AO55" s="4">
        <f t="shared" si="57"/>
        <v>24.204330357142858</v>
      </c>
    </row>
    <row r="56" spans="1:41" ht="12.75">
      <c r="A56" s="23" t="s">
        <v>340</v>
      </c>
      <c r="B56" s="12"/>
      <c r="C56" s="9">
        <f t="shared" si="14"/>
        <v>0</v>
      </c>
      <c r="D56" s="17"/>
      <c r="E56" s="16"/>
      <c r="F56" s="7"/>
      <c r="G56" s="3"/>
      <c r="H56" s="3"/>
      <c r="I56" s="3"/>
      <c r="J56" s="3"/>
      <c r="K56" s="3"/>
      <c r="L56" s="3"/>
      <c r="M56" s="3"/>
      <c r="N56" s="10"/>
      <c r="O56" s="10"/>
      <c r="P56" s="10"/>
      <c r="Q56" s="10"/>
      <c r="R56" s="10"/>
      <c r="S56" s="29"/>
      <c r="T56" s="29"/>
      <c r="U56" s="29"/>
      <c r="V56" s="9">
        <f t="shared" si="15"/>
        <v>0</v>
      </c>
      <c r="W56" s="7"/>
      <c r="X56" s="4"/>
      <c r="Y56" s="8"/>
      <c r="Z56" s="3"/>
      <c r="AB56" s="5"/>
      <c r="AC56" s="7"/>
      <c r="AD56" s="6"/>
      <c r="AE56" s="5"/>
      <c r="AF56" s="4"/>
      <c r="AG56" s="4"/>
      <c r="AH56" s="4"/>
      <c r="AI56" s="4"/>
      <c r="AJ56" s="4"/>
      <c r="AK56" s="4"/>
      <c r="AL56" s="4"/>
      <c r="AO56" s="4"/>
    </row>
    <row r="57" spans="1:41" ht="12.75">
      <c r="A57" s="28" t="s">
        <v>339</v>
      </c>
      <c r="B57" s="12" t="s">
        <v>338</v>
      </c>
      <c r="C57" s="9">
        <f t="shared" si="14"/>
        <v>0</v>
      </c>
      <c r="D57" t="s">
        <v>131</v>
      </c>
      <c r="E57" s="3" t="s">
        <v>213</v>
      </c>
      <c r="F57" s="7"/>
      <c r="G57" s="5"/>
      <c r="H57" s="5"/>
      <c r="I57" s="5"/>
      <c r="J57" s="5"/>
      <c r="K57" s="5"/>
      <c r="L57" s="5"/>
      <c r="M57" s="5"/>
      <c r="N57" s="10"/>
      <c r="O57" s="10"/>
      <c r="P57" s="10"/>
      <c r="Q57" s="10"/>
      <c r="R57" s="10"/>
      <c r="S57" s="9"/>
      <c r="T57" s="9"/>
      <c r="U57" s="9"/>
      <c r="V57" s="9">
        <f t="shared" si="15"/>
        <v>0</v>
      </c>
      <c r="W57" s="7"/>
      <c r="X57" s="4"/>
      <c r="Y57" s="14"/>
      <c r="Z57" s="5"/>
      <c r="AB57" s="5"/>
      <c r="AC57" s="7"/>
      <c r="AD57" s="6"/>
      <c r="AE57" s="5"/>
      <c r="AF57" s="4"/>
      <c r="AG57" s="4"/>
      <c r="AH57" s="4"/>
      <c r="AI57" s="4"/>
      <c r="AJ57" s="7"/>
      <c r="AK57" s="4"/>
      <c r="AL57" s="4"/>
      <c r="AO57" s="4"/>
    </row>
    <row r="58" spans="1:41" ht="12.75">
      <c r="A58" s="28" t="s">
        <v>336</v>
      </c>
      <c r="B58" s="12" t="s">
        <v>337</v>
      </c>
      <c r="C58" s="9">
        <f t="shared" si="14"/>
        <v>0</v>
      </c>
      <c r="D58" t="s">
        <v>131</v>
      </c>
      <c r="E58" s="3" t="s">
        <v>16</v>
      </c>
      <c r="F58" s="7"/>
      <c r="G58" s="5"/>
      <c r="H58" s="5"/>
      <c r="I58" s="5"/>
      <c r="J58" s="5"/>
      <c r="K58" s="5"/>
      <c r="L58" s="5"/>
      <c r="M58" s="5"/>
      <c r="N58" s="10"/>
      <c r="O58" s="10"/>
      <c r="P58" s="10"/>
      <c r="Q58" s="10"/>
      <c r="R58" s="10"/>
      <c r="S58" s="9"/>
      <c r="T58" s="9"/>
      <c r="U58" s="9"/>
      <c r="V58" s="9">
        <f t="shared" si="15"/>
        <v>0</v>
      </c>
      <c r="W58" s="7"/>
      <c r="X58" s="4"/>
      <c r="Y58" s="14"/>
      <c r="Z58" s="5"/>
      <c r="AB58" s="5"/>
      <c r="AC58" s="7"/>
      <c r="AD58" s="6"/>
      <c r="AE58" s="5"/>
      <c r="AF58" s="4"/>
      <c r="AG58" s="4"/>
      <c r="AH58" s="4"/>
      <c r="AI58" s="4"/>
      <c r="AJ58" s="7"/>
      <c r="AK58" s="4"/>
      <c r="AL58" s="4"/>
      <c r="AO58" s="4"/>
    </row>
    <row r="59" spans="1:41" ht="12.75">
      <c r="A59" s="28" t="s">
        <v>336</v>
      </c>
      <c r="B59" s="12" t="s">
        <v>335</v>
      </c>
      <c r="C59" s="9">
        <f t="shared" si="14"/>
        <v>0</v>
      </c>
      <c r="D59" t="s">
        <v>131</v>
      </c>
      <c r="E59" s="3" t="s">
        <v>16</v>
      </c>
      <c r="F59" s="7"/>
      <c r="G59" s="5"/>
      <c r="H59" s="5"/>
      <c r="I59" s="5"/>
      <c r="J59" s="5"/>
      <c r="K59" s="5"/>
      <c r="L59" s="5"/>
      <c r="M59" s="5"/>
      <c r="N59" s="10"/>
      <c r="O59" s="10"/>
      <c r="P59" s="10"/>
      <c r="Q59" s="10"/>
      <c r="R59" s="10"/>
      <c r="S59" s="9"/>
      <c r="T59" s="9"/>
      <c r="U59" s="9"/>
      <c r="V59" s="9">
        <f t="shared" si="15"/>
        <v>0</v>
      </c>
      <c r="W59" s="7"/>
      <c r="X59" s="4"/>
      <c r="Y59" s="14"/>
      <c r="Z59" s="5"/>
      <c r="AB59" s="5"/>
      <c r="AC59" s="7"/>
      <c r="AD59" s="6"/>
      <c r="AE59" s="5"/>
      <c r="AF59" s="4"/>
      <c r="AG59" s="4"/>
      <c r="AH59" s="4"/>
      <c r="AI59" s="4"/>
      <c r="AJ59" s="7"/>
      <c r="AK59" s="4"/>
      <c r="AL59" s="4"/>
      <c r="AO59" s="4"/>
    </row>
    <row r="60" spans="1:41" ht="12.75">
      <c r="A60" s="17"/>
      <c r="B60" s="12"/>
      <c r="C60" s="9">
        <f t="shared" si="14"/>
        <v>0</v>
      </c>
      <c r="D60" s="17"/>
      <c r="E60" s="16"/>
      <c r="F60" s="7"/>
      <c r="G60" s="3"/>
      <c r="H60" s="3"/>
      <c r="I60" s="3"/>
      <c r="J60" s="3"/>
      <c r="K60" s="3"/>
      <c r="L60" s="3"/>
      <c r="M60" s="3"/>
      <c r="N60" s="10"/>
      <c r="O60" s="10"/>
      <c r="P60" s="10"/>
      <c r="Q60" s="10"/>
      <c r="R60" s="10"/>
      <c r="S60" s="29"/>
      <c r="T60" s="29"/>
      <c r="U60" s="29"/>
      <c r="V60" s="9">
        <f t="shared" si="15"/>
        <v>0</v>
      </c>
      <c r="W60" s="7"/>
      <c r="X60" s="4"/>
      <c r="Y60" s="8"/>
      <c r="Z60" s="3"/>
      <c r="AB60" s="5"/>
      <c r="AC60" s="7"/>
      <c r="AD60" s="6"/>
      <c r="AE60" s="5"/>
      <c r="AF60" s="4"/>
      <c r="AG60" s="4"/>
      <c r="AH60" s="4"/>
      <c r="AI60" s="4"/>
      <c r="AJ60" s="4"/>
      <c r="AK60" s="4"/>
      <c r="AL60" s="4"/>
      <c r="AO60" s="4"/>
    </row>
    <row r="61" spans="1:41" ht="12.75">
      <c r="A61" s="21" t="s">
        <v>131</v>
      </c>
      <c r="B61" s="12"/>
      <c r="C61" s="9">
        <f t="shared" si="14"/>
        <v>0</v>
      </c>
      <c r="E61" s="3"/>
      <c r="F61" s="7"/>
      <c r="G61" s="5"/>
      <c r="H61" s="5"/>
      <c r="I61" s="5"/>
      <c r="J61" s="5"/>
      <c r="K61" s="5"/>
      <c r="L61" s="5"/>
      <c r="M61" s="5"/>
      <c r="N61" s="10"/>
      <c r="O61" s="10"/>
      <c r="P61" s="10"/>
      <c r="Q61" s="10"/>
      <c r="R61" s="10"/>
      <c r="S61" s="9"/>
      <c r="T61" s="9"/>
      <c r="U61" s="9"/>
      <c r="V61" s="9">
        <f t="shared" si="15"/>
        <v>0</v>
      </c>
      <c r="W61" s="7"/>
      <c r="X61" s="4"/>
      <c r="Y61" s="14"/>
      <c r="Z61" s="5"/>
      <c r="AB61" s="5"/>
      <c r="AC61" s="7" t="s">
        <v>334</v>
      </c>
      <c r="AD61" s="6"/>
      <c r="AE61" s="5"/>
      <c r="AF61" s="4"/>
      <c r="AG61" s="4"/>
      <c r="AH61" s="4"/>
      <c r="AI61" s="4"/>
      <c r="AJ61" s="7"/>
      <c r="AK61" s="4"/>
      <c r="AL61" s="4"/>
      <c r="AO61" s="4"/>
    </row>
    <row r="62" spans="1:41" ht="12.75">
      <c r="A62" s="17" t="s">
        <v>333</v>
      </c>
      <c r="B62" s="12" t="s">
        <v>332</v>
      </c>
      <c r="C62" s="9">
        <f t="shared" si="14"/>
        <v>32.291999999999994</v>
      </c>
      <c r="D62" s="17" t="s">
        <v>131</v>
      </c>
      <c r="E62" s="3" t="s">
        <v>213</v>
      </c>
      <c r="F62" s="7">
        <v>0</v>
      </c>
      <c r="G62" s="3" t="s">
        <v>212</v>
      </c>
      <c r="H62" s="3"/>
      <c r="I62" s="3"/>
      <c r="J62" s="3"/>
      <c r="K62" s="3" t="s">
        <v>2</v>
      </c>
      <c r="L62" s="3"/>
      <c r="M62" s="3"/>
      <c r="N62" s="10" t="str">
        <f aca="true" t="shared" si="59" ref="N62:N71">VLOOKUP(D62,Weapon_range,(VLOOKUP(E62,weapon_size_col,2,FALSE)),FALSE)</f>
        <v>1/3</v>
      </c>
      <c r="O62" s="10">
        <v>1</v>
      </c>
      <c r="P62" s="10">
        <v>7</v>
      </c>
      <c r="Q62" s="10">
        <v>-2</v>
      </c>
      <c r="R62" s="10">
        <v>-12</v>
      </c>
      <c r="S62" s="9">
        <f aca="true" t="shared" si="60" ref="S62:S71">VLOOKUP($D62,Weapon_mode,2,FALSE)+VLOOKUP($E62,Weapon_size,2,FALSE)</f>
        <v>0</v>
      </c>
      <c r="T62" s="9">
        <f aca="true" t="shared" si="61" ref="T62:T71">VLOOKUP($D62,Weapon_mode,3,FALSE)++VLOOKUP($E62,Weapon_size,3,FALSE)</f>
        <v>-1</v>
      </c>
      <c r="U62" s="9">
        <f aca="true" t="shared" si="62" ref="U62:U71">VLOOKUP($D62,Weapon_mode,4,FALSE)+VLOOKUP($E62,Weapon_size,4,FALSE)</f>
        <v>-1</v>
      </c>
      <c r="V62" s="9">
        <f t="shared" si="15"/>
        <v>-1</v>
      </c>
      <c r="W62" s="7">
        <v>120</v>
      </c>
      <c r="X62" s="4" t="s">
        <v>2</v>
      </c>
      <c r="Y62" s="14" t="s">
        <v>918</v>
      </c>
      <c r="Z62" s="3" t="s">
        <v>917</v>
      </c>
      <c r="AA62" t="s">
        <v>323</v>
      </c>
      <c r="AB62" s="5">
        <v>53</v>
      </c>
      <c r="AC62" s="7">
        <f aca="true" t="shared" si="63" ref="AC62:AC75">AB62-7</f>
        <v>46</v>
      </c>
      <c r="AD62" s="6">
        <f aca="true" t="shared" si="64" ref="AD62:AD76">VLOOKUP(G62,RoF,2,FALSE)</f>
        <v>2.5</v>
      </c>
      <c r="AE62" s="5">
        <v>8</v>
      </c>
      <c r="AF62" s="4">
        <f aca="true" t="shared" si="65" ref="AF62:AF76">AB62/(AD62*AE62)</f>
        <v>2.65</v>
      </c>
      <c r="AG62" s="4">
        <f aca="true" t="shared" si="66" ref="AG62:AG76">AC62/AD62*IF(H62="Y",raking,1)*IF(I62="Y",Pierce,1)*IF(J62="Y",Sustained,1)*IF(K62="Y",standard,1)*IF(L62="Y",Pulse,1)*IF(M62="Y",Flash,1)</f>
        <v>18.4</v>
      </c>
      <c r="AH62" s="4">
        <f aca="true" t="shared" si="67" ref="AH62:AH76">VLOOKUP(S62,FireControl,2)</f>
        <v>1</v>
      </c>
      <c r="AI62" s="4">
        <f aca="true" t="shared" si="68" ref="AI62:AI71">VLOOKUP(N62,Range,2,FALSE)</f>
        <v>1.5</v>
      </c>
      <c r="AJ62" s="4">
        <f aca="true" t="shared" si="69" ref="AJ62:AJ76">VLOOKUP(W62,Arc,2,FALSE)</f>
        <v>1</v>
      </c>
      <c r="AK62" s="4">
        <f aca="true" t="shared" si="70" ref="AK62:AK71">VLOOKUP(X62,Interceptable,2,FALSE)</f>
        <v>0.9</v>
      </c>
      <c r="AL62" s="4">
        <f aca="true" t="shared" si="71" ref="AL62:AL76">VLOOKUP(F62,Interceptability,2,FALSE)</f>
        <v>0</v>
      </c>
      <c r="AM62" s="5">
        <v>1</v>
      </c>
      <c r="AO62" s="4">
        <f aca="true" t="shared" si="72" ref="AO62:AO76">MAX(AG62*AH62*AI62*AJ62*AK62*AM62,AL62)+MIN(AG62*AH62*AI62*AJ62*AK62,AL62)/2</f>
        <v>24.84</v>
      </c>
    </row>
    <row r="63" spans="1:41" ht="12.75">
      <c r="A63" s="17" t="s">
        <v>333</v>
      </c>
      <c r="B63" s="12" t="s">
        <v>332</v>
      </c>
      <c r="C63" s="9">
        <f t="shared" si="14"/>
        <v>29.0628</v>
      </c>
      <c r="D63" s="17" t="s">
        <v>131</v>
      </c>
      <c r="E63" s="3" t="s">
        <v>213</v>
      </c>
      <c r="F63" s="7">
        <v>0</v>
      </c>
      <c r="G63" s="3" t="s">
        <v>212</v>
      </c>
      <c r="H63" s="3"/>
      <c r="I63" s="3"/>
      <c r="J63" s="3"/>
      <c r="K63" s="3" t="s">
        <v>2</v>
      </c>
      <c r="L63" s="3"/>
      <c r="M63" s="3"/>
      <c r="N63" s="10" t="str">
        <f t="shared" si="59"/>
        <v>1/3</v>
      </c>
      <c r="O63" s="10">
        <v>1</v>
      </c>
      <c r="P63" s="10">
        <v>7</v>
      </c>
      <c r="Q63" s="10">
        <v>-2</v>
      </c>
      <c r="R63" s="10">
        <v>-12</v>
      </c>
      <c r="S63" s="9">
        <f t="shared" si="60"/>
        <v>0</v>
      </c>
      <c r="T63" s="9">
        <f t="shared" si="61"/>
        <v>-1</v>
      </c>
      <c r="U63" s="9">
        <f t="shared" si="62"/>
        <v>-1</v>
      </c>
      <c r="V63" s="9">
        <f t="shared" si="15"/>
        <v>-1</v>
      </c>
      <c r="W63" s="7">
        <v>60</v>
      </c>
      <c r="X63" s="4" t="s">
        <v>2</v>
      </c>
      <c r="Y63" s="14" t="s">
        <v>918</v>
      </c>
      <c r="Z63" s="3" t="s">
        <v>917</v>
      </c>
      <c r="AA63" t="s">
        <v>323</v>
      </c>
      <c r="AB63" s="5">
        <v>53</v>
      </c>
      <c r="AC63" s="7">
        <f t="shared" si="63"/>
        <v>46</v>
      </c>
      <c r="AD63" s="6">
        <f>VLOOKUP(G63,RoF,2,FALSE)</f>
        <v>2.5</v>
      </c>
      <c r="AE63" s="5">
        <v>8</v>
      </c>
      <c r="AF63" s="4">
        <f>AB63/(AD63*AE63)</f>
        <v>2.65</v>
      </c>
      <c r="AG63" s="4">
        <f>AC63/AD63*IF(H63="Y",raking,1)*IF(I63="Y",Pierce,1)*IF(J63="Y",Sustained,1)*IF(K63="Y",standard,1)*IF(L63="Y",Pulse,1)*IF(M63="Y",Flash,1)</f>
        <v>18.4</v>
      </c>
      <c r="AH63" s="4">
        <f>VLOOKUP(S63,FireControl,2)</f>
        <v>1</v>
      </c>
      <c r="AI63" s="4">
        <f t="shared" si="68"/>
        <v>1.5</v>
      </c>
      <c r="AJ63" s="4">
        <f>VLOOKUP(W63,Arc,2,FALSE)</f>
        <v>0.9</v>
      </c>
      <c r="AK63" s="4">
        <f t="shared" si="70"/>
        <v>0.9</v>
      </c>
      <c r="AL63" s="4">
        <f>VLOOKUP(F63,Interceptability,2,FALSE)</f>
        <v>0</v>
      </c>
      <c r="AM63" s="5">
        <v>1</v>
      </c>
      <c r="AO63" s="4">
        <f>MAX(AG63*AH63*AI63*AJ63*AK63*AM63,AL63)+MIN(AG63*AH63*AI63*AJ63*AK63,AL63)/2</f>
        <v>22.356</v>
      </c>
    </row>
    <row r="64" spans="1:41" ht="12.75">
      <c r="A64" s="17" t="s">
        <v>330</v>
      </c>
      <c r="B64" s="12" t="s">
        <v>331</v>
      </c>
      <c r="C64" s="9">
        <f t="shared" si="14"/>
        <v>24.251497005988025</v>
      </c>
      <c r="D64" s="17" t="s">
        <v>131</v>
      </c>
      <c r="E64" s="3" t="s">
        <v>16</v>
      </c>
      <c r="F64" s="7">
        <v>0</v>
      </c>
      <c r="G64" s="3" t="s">
        <v>15</v>
      </c>
      <c r="H64" s="3"/>
      <c r="I64" s="3"/>
      <c r="J64" s="3"/>
      <c r="K64" s="3" t="s">
        <v>2</v>
      </c>
      <c r="L64" s="3"/>
      <c r="M64" s="3"/>
      <c r="N64" s="10" t="str">
        <f t="shared" si="59"/>
        <v>1/2</v>
      </c>
      <c r="O64" s="10">
        <v>4</v>
      </c>
      <c r="P64" s="10">
        <v>5</v>
      </c>
      <c r="Q64" s="10">
        <v>-5</v>
      </c>
      <c r="R64" s="10">
        <v>-17</v>
      </c>
      <c r="S64" s="9">
        <f t="shared" si="60"/>
        <v>0</v>
      </c>
      <c r="T64" s="9">
        <f t="shared" si="61"/>
        <v>0</v>
      </c>
      <c r="U64" s="9">
        <f t="shared" si="62"/>
        <v>-1</v>
      </c>
      <c r="V64" s="9">
        <f t="shared" si="15"/>
        <v>-4</v>
      </c>
      <c r="W64" s="7">
        <v>120</v>
      </c>
      <c r="X64" s="4" t="s">
        <v>2</v>
      </c>
      <c r="Y64" s="8" t="s">
        <v>328</v>
      </c>
      <c r="Z64" s="3" t="s">
        <v>327</v>
      </c>
      <c r="AA64" t="s">
        <v>323</v>
      </c>
      <c r="AB64" s="5">
        <v>32</v>
      </c>
      <c r="AC64" s="7">
        <f t="shared" si="63"/>
        <v>25</v>
      </c>
      <c r="AD64" s="6">
        <f t="shared" si="64"/>
        <v>1.67</v>
      </c>
      <c r="AE64" s="5">
        <v>5</v>
      </c>
      <c r="AF64" s="4">
        <f t="shared" si="65"/>
        <v>3.8323353293413174</v>
      </c>
      <c r="AG64" s="4">
        <f t="shared" si="66"/>
        <v>14.970059880239521</v>
      </c>
      <c r="AH64" s="4">
        <f t="shared" si="67"/>
        <v>1</v>
      </c>
      <c r="AI64" s="4">
        <f t="shared" si="68"/>
        <v>1.4</v>
      </c>
      <c r="AJ64" s="4">
        <f t="shared" si="69"/>
        <v>1</v>
      </c>
      <c r="AK64" s="4">
        <f t="shared" si="70"/>
        <v>0.9</v>
      </c>
      <c r="AL64" s="4">
        <f t="shared" si="71"/>
        <v>0</v>
      </c>
      <c r="AM64" s="5">
        <v>1</v>
      </c>
      <c r="AO64" s="4">
        <f t="shared" si="72"/>
        <v>18.862275449101798</v>
      </c>
    </row>
    <row r="65" spans="1:41" ht="12.75">
      <c r="A65" s="17" t="s">
        <v>330</v>
      </c>
      <c r="B65" s="12" t="s">
        <v>329</v>
      </c>
      <c r="C65" s="9">
        <f t="shared" si="14"/>
        <v>21.826347305389223</v>
      </c>
      <c r="D65" s="17" t="s">
        <v>131</v>
      </c>
      <c r="E65" s="3" t="s">
        <v>16</v>
      </c>
      <c r="F65" s="7">
        <v>0</v>
      </c>
      <c r="G65" s="3" t="s">
        <v>15</v>
      </c>
      <c r="H65" s="3"/>
      <c r="I65" s="3"/>
      <c r="J65" s="3"/>
      <c r="K65" s="3" t="s">
        <v>2</v>
      </c>
      <c r="L65" s="3"/>
      <c r="M65" s="3"/>
      <c r="N65" s="10" t="str">
        <f t="shared" si="59"/>
        <v>1/2</v>
      </c>
      <c r="O65" s="10">
        <v>4</v>
      </c>
      <c r="P65" s="10">
        <v>5</v>
      </c>
      <c r="Q65" s="10">
        <v>-5</v>
      </c>
      <c r="R65" s="10">
        <v>-17</v>
      </c>
      <c r="S65" s="9">
        <f t="shared" si="60"/>
        <v>0</v>
      </c>
      <c r="T65" s="9">
        <f t="shared" si="61"/>
        <v>0</v>
      </c>
      <c r="U65" s="9">
        <f t="shared" si="62"/>
        <v>-1</v>
      </c>
      <c r="V65" s="9">
        <f t="shared" si="15"/>
        <v>-4</v>
      </c>
      <c r="W65" s="7">
        <v>60</v>
      </c>
      <c r="X65" s="4" t="s">
        <v>2</v>
      </c>
      <c r="Y65" s="8" t="s">
        <v>328</v>
      </c>
      <c r="Z65" s="3" t="s">
        <v>327</v>
      </c>
      <c r="AA65" t="s">
        <v>323</v>
      </c>
      <c r="AB65" s="5">
        <v>32</v>
      </c>
      <c r="AC65" s="7">
        <f t="shared" si="63"/>
        <v>25</v>
      </c>
      <c r="AD65" s="6">
        <f t="shared" si="64"/>
        <v>1.67</v>
      </c>
      <c r="AE65" s="5">
        <v>5</v>
      </c>
      <c r="AF65" s="4">
        <f t="shared" si="65"/>
        <v>3.8323353293413174</v>
      </c>
      <c r="AG65" s="4">
        <f t="shared" si="66"/>
        <v>14.970059880239521</v>
      </c>
      <c r="AH65" s="4">
        <f t="shared" si="67"/>
        <v>1</v>
      </c>
      <c r="AI65" s="4">
        <f t="shared" si="68"/>
        <v>1.4</v>
      </c>
      <c r="AJ65" s="4">
        <f t="shared" si="69"/>
        <v>0.9</v>
      </c>
      <c r="AK65" s="4">
        <f t="shared" si="70"/>
        <v>0.9</v>
      </c>
      <c r="AL65" s="4">
        <f t="shared" si="71"/>
        <v>0</v>
      </c>
      <c r="AM65" s="5">
        <v>1</v>
      </c>
      <c r="AO65" s="4">
        <f t="shared" si="72"/>
        <v>16.976047904191617</v>
      </c>
    </row>
    <row r="66" spans="1:41" ht="12.75">
      <c r="A66" s="17" t="s">
        <v>330</v>
      </c>
      <c r="B66" s="12" t="s">
        <v>948</v>
      </c>
      <c r="C66" s="9">
        <f t="shared" si="14"/>
        <v>29.10179640718563</v>
      </c>
      <c r="D66" s="17" t="s">
        <v>131</v>
      </c>
      <c r="E66" s="3" t="s">
        <v>16</v>
      </c>
      <c r="F66" s="7">
        <v>0</v>
      </c>
      <c r="G66" s="3" t="s">
        <v>15</v>
      </c>
      <c r="H66" s="3"/>
      <c r="I66" s="3"/>
      <c r="J66" s="3"/>
      <c r="K66" s="3" t="s">
        <v>2</v>
      </c>
      <c r="L66" s="3"/>
      <c r="M66" s="3"/>
      <c r="N66" s="10" t="str">
        <f t="shared" si="59"/>
        <v>1/2</v>
      </c>
      <c r="O66" s="10">
        <v>4</v>
      </c>
      <c r="P66" s="10">
        <v>5</v>
      </c>
      <c r="Q66" s="10">
        <v>-5</v>
      </c>
      <c r="R66" s="10">
        <v>-17</v>
      </c>
      <c r="S66" s="9">
        <f t="shared" si="60"/>
        <v>0</v>
      </c>
      <c r="T66" s="9">
        <f t="shared" si="61"/>
        <v>0</v>
      </c>
      <c r="U66" s="9">
        <f t="shared" si="62"/>
        <v>-1</v>
      </c>
      <c r="V66" s="9">
        <f t="shared" si="15"/>
        <v>-4</v>
      </c>
      <c r="W66" s="7">
        <v>240</v>
      </c>
      <c r="X66" s="4" t="s">
        <v>2</v>
      </c>
      <c r="Y66" s="8" t="s">
        <v>328</v>
      </c>
      <c r="Z66" s="3" t="s">
        <v>327</v>
      </c>
      <c r="AA66" t="s">
        <v>323</v>
      </c>
      <c r="AB66" s="5">
        <v>32</v>
      </c>
      <c r="AC66" s="7">
        <f t="shared" si="63"/>
        <v>25</v>
      </c>
      <c r="AD66" s="6">
        <f>VLOOKUP(G66,RoF,2,FALSE)</f>
        <v>1.67</v>
      </c>
      <c r="AE66" s="5">
        <v>5</v>
      </c>
      <c r="AF66" s="4">
        <f>AB66/(AD66*AE66)</f>
        <v>3.8323353293413174</v>
      </c>
      <c r="AG66" s="4">
        <f>AC66/AD66*IF(H66="Y",raking,1)*IF(I66="Y",Pierce,1)*IF(J66="Y",Sustained,1)*IF(K66="Y",standard,1)*IF(L66="Y",Pulse,1)*IF(M66="Y",Flash,1)</f>
        <v>14.970059880239521</v>
      </c>
      <c r="AH66" s="4">
        <f>VLOOKUP(S66,FireControl,2)</f>
        <v>1</v>
      </c>
      <c r="AI66" s="4">
        <f t="shared" si="68"/>
        <v>1.4</v>
      </c>
      <c r="AJ66" s="4">
        <f>VLOOKUP(W66,Arc,2,FALSE)</f>
        <v>1.2</v>
      </c>
      <c r="AK66" s="4">
        <f t="shared" si="70"/>
        <v>0.9</v>
      </c>
      <c r="AL66" s="4">
        <f>VLOOKUP(F66,Interceptability,2,FALSE)</f>
        <v>0</v>
      </c>
      <c r="AM66" s="5">
        <v>1</v>
      </c>
      <c r="AO66" s="4">
        <f>MAX(AG66*AH66*AI66*AJ66*AK66*AM66,AL66)+MIN(AG66*AH66*AI66*AJ66*AK66,AL66)/2</f>
        <v>22.634730538922156</v>
      </c>
    </row>
    <row r="67" spans="1:41" ht="12.75">
      <c r="A67" s="17" t="s">
        <v>330</v>
      </c>
      <c r="B67" s="12" t="s">
        <v>949</v>
      </c>
      <c r="C67" s="9">
        <f t="shared" si="14"/>
        <v>31.526946107784436</v>
      </c>
      <c r="D67" s="17" t="s">
        <v>131</v>
      </c>
      <c r="E67" s="3" t="s">
        <v>16</v>
      </c>
      <c r="F67" s="7">
        <v>0</v>
      </c>
      <c r="G67" s="3" t="s">
        <v>15</v>
      </c>
      <c r="H67" s="3"/>
      <c r="I67" s="3"/>
      <c r="J67" s="3"/>
      <c r="K67" s="3" t="s">
        <v>2</v>
      </c>
      <c r="L67" s="3"/>
      <c r="M67" s="3"/>
      <c r="N67" s="10" t="str">
        <f t="shared" si="59"/>
        <v>1/2</v>
      </c>
      <c r="O67" s="10">
        <v>4</v>
      </c>
      <c r="P67" s="10">
        <v>5</v>
      </c>
      <c r="Q67" s="10">
        <v>-5</v>
      </c>
      <c r="R67" s="10">
        <v>-17</v>
      </c>
      <c r="S67" s="9">
        <f t="shared" si="60"/>
        <v>0</v>
      </c>
      <c r="T67" s="9">
        <f t="shared" si="61"/>
        <v>0</v>
      </c>
      <c r="U67" s="9">
        <f t="shared" si="62"/>
        <v>-1</v>
      </c>
      <c r="V67" s="9">
        <f t="shared" si="15"/>
        <v>-4</v>
      </c>
      <c r="W67" s="7">
        <v>360</v>
      </c>
      <c r="X67" s="4" t="s">
        <v>2</v>
      </c>
      <c r="Y67" s="8" t="s">
        <v>328</v>
      </c>
      <c r="Z67" s="3" t="s">
        <v>327</v>
      </c>
      <c r="AA67" t="s">
        <v>323</v>
      </c>
      <c r="AB67" s="5">
        <v>32</v>
      </c>
      <c r="AC67" s="7">
        <f t="shared" si="63"/>
        <v>25</v>
      </c>
      <c r="AD67" s="6">
        <f>VLOOKUP(G67,RoF,2,FALSE)</f>
        <v>1.67</v>
      </c>
      <c r="AE67" s="5">
        <v>5</v>
      </c>
      <c r="AF67" s="4">
        <f>AB67/(AD67*AE67)</f>
        <v>3.8323353293413174</v>
      </c>
      <c r="AG67" s="4">
        <f>AC67/AD67*IF(H67="Y",raking,1)*IF(I67="Y",Pierce,1)*IF(J67="Y",Sustained,1)*IF(K67="Y",standard,1)*IF(L67="Y",Pulse,1)*IF(M67="Y",Flash,1)</f>
        <v>14.970059880239521</v>
      </c>
      <c r="AH67" s="4">
        <f>VLOOKUP(S67,FireControl,2)</f>
        <v>1</v>
      </c>
      <c r="AI67" s="4">
        <f t="shared" si="68"/>
        <v>1.4</v>
      </c>
      <c r="AJ67" s="4">
        <f>VLOOKUP(W67,Arc,2,FALSE)</f>
        <v>1.3</v>
      </c>
      <c r="AK67" s="4">
        <f t="shared" si="70"/>
        <v>0.9</v>
      </c>
      <c r="AL67" s="4">
        <f>VLOOKUP(F67,Interceptability,2,FALSE)</f>
        <v>0</v>
      </c>
      <c r="AM67" s="5">
        <v>1</v>
      </c>
      <c r="AO67" s="4">
        <f>MAX(AG67*AH67*AI67*AJ67*AK67*AM67,AL67)+MIN(AG67*AH67*AI67*AJ67*AK67,AL67)/2</f>
        <v>24.520958083832337</v>
      </c>
    </row>
    <row r="68" spans="1:41" ht="12.75">
      <c r="A68" s="17" t="s">
        <v>326</v>
      </c>
      <c r="B68" s="12" t="s">
        <v>325</v>
      </c>
      <c r="C68" s="9">
        <f t="shared" si="14"/>
        <v>13.950000000000001</v>
      </c>
      <c r="D68" s="17" t="s">
        <v>131</v>
      </c>
      <c r="E68" s="3" t="s">
        <v>12</v>
      </c>
      <c r="F68" s="7">
        <v>0</v>
      </c>
      <c r="G68" s="3" t="s">
        <v>11</v>
      </c>
      <c r="H68" s="3"/>
      <c r="I68" s="3"/>
      <c r="J68" s="3"/>
      <c r="K68" s="3" t="s">
        <v>2</v>
      </c>
      <c r="L68" s="3"/>
      <c r="M68" s="3"/>
      <c r="N68" s="10" t="str">
        <f t="shared" si="59"/>
        <v>2/3</v>
      </c>
      <c r="O68" s="10">
        <v>5</v>
      </c>
      <c r="P68" s="10">
        <v>1</v>
      </c>
      <c r="Q68" s="10">
        <v>-11</v>
      </c>
      <c r="R68" s="10">
        <v>-28</v>
      </c>
      <c r="S68" s="9">
        <f t="shared" si="60"/>
        <v>-1</v>
      </c>
      <c r="T68" s="9">
        <f t="shared" si="61"/>
        <v>0</v>
      </c>
      <c r="U68" s="9">
        <f t="shared" si="62"/>
        <v>0</v>
      </c>
      <c r="V68" s="9">
        <f t="shared" si="15"/>
        <v>-9</v>
      </c>
      <c r="W68" s="7">
        <v>120</v>
      </c>
      <c r="X68" s="4" t="s">
        <v>2</v>
      </c>
      <c r="Y68" s="8" t="s">
        <v>324</v>
      </c>
      <c r="Z68" s="3" t="str">
        <f aca="true" t="shared" si="73" ref="Z68:Z76">Y68</f>
        <v>3d10 +4</v>
      </c>
      <c r="AA68" t="s">
        <v>323</v>
      </c>
      <c r="AB68" s="5">
        <v>21</v>
      </c>
      <c r="AC68" s="7">
        <f t="shared" si="63"/>
        <v>14</v>
      </c>
      <c r="AD68" s="6">
        <f t="shared" si="64"/>
        <v>1.4</v>
      </c>
      <c r="AE68" s="5">
        <v>3</v>
      </c>
      <c r="AF68" s="4">
        <f t="shared" si="65"/>
        <v>5.000000000000001</v>
      </c>
      <c r="AG68" s="4">
        <f t="shared" si="66"/>
        <v>10</v>
      </c>
      <c r="AH68" s="4">
        <f t="shared" si="67"/>
        <v>0.93</v>
      </c>
      <c r="AI68" s="4">
        <f t="shared" si="68"/>
        <v>1.25</v>
      </c>
      <c r="AJ68" s="4">
        <f t="shared" si="69"/>
        <v>1</v>
      </c>
      <c r="AK68" s="4">
        <f t="shared" si="70"/>
        <v>0.9</v>
      </c>
      <c r="AL68" s="4">
        <f t="shared" si="71"/>
        <v>0</v>
      </c>
      <c r="AM68" s="5">
        <v>1</v>
      </c>
      <c r="AO68" s="4">
        <f t="shared" si="72"/>
        <v>10.4625</v>
      </c>
    </row>
    <row r="69" spans="1:41" ht="12.75">
      <c r="A69" s="17" t="s">
        <v>326</v>
      </c>
      <c r="B69" s="12" t="s">
        <v>951</v>
      </c>
      <c r="C69" s="9">
        <f t="shared" si="14"/>
        <v>15.345</v>
      </c>
      <c r="D69" s="17" t="s">
        <v>131</v>
      </c>
      <c r="E69" s="3" t="s">
        <v>12</v>
      </c>
      <c r="F69" s="7">
        <v>0</v>
      </c>
      <c r="G69" s="3" t="s">
        <v>11</v>
      </c>
      <c r="H69" s="3"/>
      <c r="I69" s="3"/>
      <c r="J69" s="3"/>
      <c r="K69" s="3" t="s">
        <v>2</v>
      </c>
      <c r="L69" s="3"/>
      <c r="M69" s="3"/>
      <c r="N69" s="10" t="str">
        <f t="shared" si="59"/>
        <v>2/3</v>
      </c>
      <c r="O69" s="10">
        <v>5</v>
      </c>
      <c r="P69" s="10">
        <v>1</v>
      </c>
      <c r="Q69" s="10">
        <v>-11</v>
      </c>
      <c r="R69" s="10">
        <v>-28</v>
      </c>
      <c r="S69" s="9">
        <f t="shared" si="60"/>
        <v>-1</v>
      </c>
      <c r="T69" s="9">
        <f t="shared" si="61"/>
        <v>0</v>
      </c>
      <c r="U69" s="9">
        <f t="shared" si="62"/>
        <v>0</v>
      </c>
      <c r="V69" s="9">
        <f t="shared" si="15"/>
        <v>-9</v>
      </c>
      <c r="W69" s="7">
        <v>180</v>
      </c>
      <c r="X69" s="4" t="s">
        <v>2</v>
      </c>
      <c r="Y69" s="8" t="s">
        <v>324</v>
      </c>
      <c r="Z69" s="3" t="str">
        <f t="shared" si="73"/>
        <v>3d10 +4</v>
      </c>
      <c r="AA69" t="s">
        <v>323</v>
      </c>
      <c r="AB69" s="5">
        <v>21</v>
      </c>
      <c r="AC69" s="7">
        <f t="shared" si="63"/>
        <v>14</v>
      </c>
      <c r="AD69" s="6">
        <f>VLOOKUP(G69,RoF,2,FALSE)</f>
        <v>1.4</v>
      </c>
      <c r="AE69" s="5">
        <v>3</v>
      </c>
      <c r="AF69" s="4">
        <f>AB69/(AD69*AE69)</f>
        <v>5.000000000000001</v>
      </c>
      <c r="AG69" s="4">
        <f>AC69/AD69*IF(H69="Y",raking,1)*IF(I69="Y",Pierce,1)*IF(J69="Y",Sustained,1)*IF(K69="Y",standard,1)*IF(L69="Y",Pulse,1)*IF(M69="Y",Flash,1)</f>
        <v>10</v>
      </c>
      <c r="AH69" s="4">
        <f>VLOOKUP(S69,FireControl,2)</f>
        <v>0.93</v>
      </c>
      <c r="AI69" s="4">
        <f t="shared" si="68"/>
        <v>1.25</v>
      </c>
      <c r="AJ69" s="4">
        <f>VLOOKUP(W69,Arc,2,FALSE)</f>
        <v>1.1</v>
      </c>
      <c r="AK69" s="4">
        <f t="shared" si="70"/>
        <v>0.9</v>
      </c>
      <c r="AL69" s="4">
        <f>VLOOKUP(F69,Interceptability,2,FALSE)</f>
        <v>0</v>
      </c>
      <c r="AM69" s="5">
        <v>1</v>
      </c>
      <c r="AO69" s="4">
        <f>MAX(AG69*AH69*AI69*AJ69*AK69*AM69,AL69)+MIN(AG69*AH69*AI69*AJ69*AK69,AL69)/2</f>
        <v>11.508750000000001</v>
      </c>
    </row>
    <row r="70" spans="1:41" ht="12.75">
      <c r="A70" s="17" t="s">
        <v>947</v>
      </c>
      <c r="B70" s="12" t="s">
        <v>952</v>
      </c>
      <c r="C70" s="9">
        <f t="shared" si="14"/>
        <v>2.625267857142858</v>
      </c>
      <c r="D70" s="17" t="s">
        <v>131</v>
      </c>
      <c r="E70" s="3" t="s">
        <v>12</v>
      </c>
      <c r="F70" s="7">
        <v>-1</v>
      </c>
      <c r="G70" s="3" t="s">
        <v>11</v>
      </c>
      <c r="H70" s="3"/>
      <c r="I70" s="3"/>
      <c r="J70" s="3"/>
      <c r="K70" s="3" t="s">
        <v>2</v>
      </c>
      <c r="L70" s="3"/>
      <c r="M70" s="3"/>
      <c r="N70" s="10" t="str">
        <f t="shared" si="59"/>
        <v>2/3</v>
      </c>
      <c r="O70" s="10">
        <v>8</v>
      </c>
      <c r="P70" s="10">
        <v>-2</v>
      </c>
      <c r="Q70" s="10">
        <v>-18</v>
      </c>
      <c r="R70" s="10">
        <v>-42</v>
      </c>
      <c r="S70" s="9">
        <f t="shared" si="60"/>
        <v>-1</v>
      </c>
      <c r="T70" s="9">
        <f t="shared" si="61"/>
        <v>0</v>
      </c>
      <c r="U70" s="9">
        <f t="shared" si="62"/>
        <v>0</v>
      </c>
      <c r="V70" s="9">
        <f t="shared" si="15"/>
        <v>-13</v>
      </c>
      <c r="W70" s="7">
        <v>180</v>
      </c>
      <c r="X70" s="4" t="s">
        <v>2</v>
      </c>
      <c r="Y70" s="8" t="s">
        <v>324</v>
      </c>
      <c r="Z70" s="3" t="s">
        <v>291</v>
      </c>
      <c r="AA70" t="s">
        <v>323</v>
      </c>
      <c r="AB70" s="5">
        <v>9.5</v>
      </c>
      <c r="AC70" s="7">
        <f t="shared" si="63"/>
        <v>2.5</v>
      </c>
      <c r="AD70" s="6">
        <f>VLOOKUP(G70,RoF,2,FALSE)</f>
        <v>1.4</v>
      </c>
      <c r="AE70" s="5">
        <v>3</v>
      </c>
      <c r="AF70" s="4">
        <f>AB70/(AD70*AE70)</f>
        <v>2.2619047619047623</v>
      </c>
      <c r="AG70" s="4">
        <f>AC70/AD70*IF(H70="Y",raking,1)*IF(I70="Y",Pierce,1)*IF(J70="Y",Sustained,1)*IF(K70="Y",standard,1)*IF(L70="Y",Pulse,1)*IF(M70="Y",Flash,1)</f>
        <v>1.7857142857142858</v>
      </c>
      <c r="AH70" s="4">
        <f>VLOOKUP(S70,FireControl,2)</f>
        <v>0.93</v>
      </c>
      <c r="AI70" s="4">
        <f t="shared" si="68"/>
        <v>1.25</v>
      </c>
      <c r="AJ70" s="4">
        <f>VLOOKUP(W70,Arc,2,FALSE)</f>
        <v>1.1</v>
      </c>
      <c r="AK70" s="4">
        <f t="shared" si="70"/>
        <v>0.9</v>
      </c>
      <c r="AL70" s="4">
        <f>VLOOKUP(F70,Interceptability,2,FALSE)</f>
        <v>1</v>
      </c>
      <c r="AM70" s="5">
        <v>1</v>
      </c>
      <c r="AO70" s="4">
        <f>MAX(AG70*AH70*AI70*AJ70*AK70*AM70,AL70)+MIN(AG70*AH70*AI70*AJ70*AK70,AL70)/2</f>
        <v>2.555133928571429</v>
      </c>
    </row>
    <row r="71" spans="1:41" ht="12.75">
      <c r="A71" s="17" t="s">
        <v>322</v>
      </c>
      <c r="B71" s="12" t="s">
        <v>321</v>
      </c>
      <c r="C71" s="9">
        <f t="shared" si="14"/>
        <v>22.553892215568865</v>
      </c>
      <c r="D71" s="17" t="s">
        <v>131</v>
      </c>
      <c r="E71" s="3" t="s">
        <v>12</v>
      </c>
      <c r="F71" s="7">
        <v>0</v>
      </c>
      <c r="G71" s="3" t="s">
        <v>15</v>
      </c>
      <c r="H71" s="3"/>
      <c r="I71" s="3"/>
      <c r="J71" s="3"/>
      <c r="K71" s="3" t="s">
        <v>2</v>
      </c>
      <c r="L71" s="3"/>
      <c r="M71" s="3"/>
      <c r="N71" s="10" t="str">
        <f t="shared" si="59"/>
        <v>2/3</v>
      </c>
      <c r="O71" s="10">
        <v>5</v>
      </c>
      <c r="P71" s="10">
        <v>1</v>
      </c>
      <c r="Q71" s="10">
        <v>-11</v>
      </c>
      <c r="R71" s="10">
        <v>-28</v>
      </c>
      <c r="S71" s="9">
        <f t="shared" si="60"/>
        <v>-1</v>
      </c>
      <c r="T71" s="9">
        <f t="shared" si="61"/>
        <v>0</v>
      </c>
      <c r="U71" s="9">
        <f t="shared" si="62"/>
        <v>0</v>
      </c>
      <c r="V71" s="9">
        <f t="shared" si="15"/>
        <v>-9</v>
      </c>
      <c r="W71" s="7">
        <v>120</v>
      </c>
      <c r="X71" s="4" t="s">
        <v>2</v>
      </c>
      <c r="Y71" s="8" t="s">
        <v>320</v>
      </c>
      <c r="Z71" s="3" t="str">
        <f t="shared" si="73"/>
        <v>4d10 +12</v>
      </c>
      <c r="AA71" t="s">
        <v>323</v>
      </c>
      <c r="AB71" s="5">
        <v>34</v>
      </c>
      <c r="AC71" s="7">
        <f t="shared" si="63"/>
        <v>27</v>
      </c>
      <c r="AD71" s="6">
        <f t="shared" si="64"/>
        <v>1.67</v>
      </c>
      <c r="AE71" s="5">
        <v>5</v>
      </c>
      <c r="AF71" s="4">
        <f t="shared" si="65"/>
        <v>4.07185628742515</v>
      </c>
      <c r="AG71" s="4">
        <f t="shared" si="66"/>
        <v>16.167664670658684</v>
      </c>
      <c r="AH71" s="4">
        <f t="shared" si="67"/>
        <v>0.93</v>
      </c>
      <c r="AI71" s="4">
        <f t="shared" si="68"/>
        <v>1.25</v>
      </c>
      <c r="AJ71" s="4">
        <f t="shared" si="69"/>
        <v>1</v>
      </c>
      <c r="AK71" s="4">
        <f t="shared" si="70"/>
        <v>0.9</v>
      </c>
      <c r="AL71" s="4">
        <f t="shared" si="71"/>
        <v>0</v>
      </c>
      <c r="AM71" s="5">
        <v>1</v>
      </c>
      <c r="AO71" s="4">
        <f t="shared" si="72"/>
        <v>16.915419161676652</v>
      </c>
    </row>
    <row r="72" spans="2:41" ht="12.75">
      <c r="B72" s="12"/>
      <c r="C72" s="9">
        <f aca="true" t="shared" si="74" ref="C72:C102">AG72*AJ72*AK72*(1+AL72/10)*AM72*(2+V72/20)</f>
        <v>0</v>
      </c>
      <c r="E72" s="3"/>
      <c r="F72" s="7"/>
      <c r="G72" s="3" t="s">
        <v>11</v>
      </c>
      <c r="H72" s="3"/>
      <c r="I72" s="3"/>
      <c r="J72" s="3"/>
      <c r="K72" s="3"/>
      <c r="L72" s="3"/>
      <c r="M72" s="3"/>
      <c r="N72" s="10"/>
      <c r="O72" s="10"/>
      <c r="P72" s="10"/>
      <c r="Q72" s="10"/>
      <c r="R72" s="10"/>
      <c r="S72" s="9"/>
      <c r="T72" s="9"/>
      <c r="U72" s="9"/>
      <c r="V72" s="9">
        <f aca="true" t="shared" si="75" ref="V72:V135">ROUND(O72/3+P72/2+IF(Q72&gt;-20,Q72,-20)/2+IF(R72&gt;-20,R72,-20)/3.5,0)</f>
        <v>0</v>
      </c>
      <c r="W72" s="7">
        <v>120</v>
      </c>
      <c r="X72" s="4"/>
      <c r="Y72" s="8" t="s">
        <v>319</v>
      </c>
      <c r="Z72" s="3" t="str">
        <f t="shared" si="73"/>
        <v>2d10 +8</v>
      </c>
      <c r="AA72" t="s">
        <v>323</v>
      </c>
      <c r="AB72" s="5">
        <v>19</v>
      </c>
      <c r="AC72" s="7">
        <f t="shared" si="63"/>
        <v>12</v>
      </c>
      <c r="AD72" s="6">
        <f t="shared" si="64"/>
        <v>1.4</v>
      </c>
      <c r="AE72" s="5">
        <v>5</v>
      </c>
      <c r="AF72" s="4">
        <f t="shared" si="65"/>
        <v>2.7142857142857144</v>
      </c>
      <c r="AG72" s="4">
        <f t="shared" si="66"/>
        <v>8.571428571428571</v>
      </c>
      <c r="AH72" s="4">
        <f t="shared" si="67"/>
        <v>1</v>
      </c>
      <c r="AI72" s="4"/>
      <c r="AJ72" s="4">
        <f t="shared" si="69"/>
        <v>1</v>
      </c>
      <c r="AK72" s="4"/>
      <c r="AL72" s="4">
        <f t="shared" si="71"/>
        <v>0</v>
      </c>
      <c r="AM72" s="5">
        <v>1</v>
      </c>
      <c r="AO72" s="4">
        <f t="shared" si="72"/>
        <v>0</v>
      </c>
    </row>
    <row r="73" spans="2:41" ht="12.75">
      <c r="B73" s="12"/>
      <c r="C73" s="9">
        <f t="shared" si="74"/>
        <v>0</v>
      </c>
      <c r="E73" s="3"/>
      <c r="F73" s="7"/>
      <c r="G73" s="3" t="s">
        <v>3</v>
      </c>
      <c r="H73" s="3"/>
      <c r="I73" s="3"/>
      <c r="J73" s="3"/>
      <c r="K73" s="3"/>
      <c r="L73" s="3"/>
      <c r="M73" s="3"/>
      <c r="N73" s="10"/>
      <c r="O73" s="10"/>
      <c r="P73" s="10"/>
      <c r="Q73" s="10"/>
      <c r="R73" s="10"/>
      <c r="S73" s="9"/>
      <c r="T73" s="9"/>
      <c r="U73" s="9"/>
      <c r="V73" s="9">
        <f t="shared" si="75"/>
        <v>0</v>
      </c>
      <c r="W73" s="7">
        <v>120</v>
      </c>
      <c r="X73" s="4"/>
      <c r="Y73" s="8" t="s">
        <v>318</v>
      </c>
      <c r="Z73" s="3" t="str">
        <f t="shared" si="73"/>
        <v>d10 +4</v>
      </c>
      <c r="AA73" t="s">
        <v>323</v>
      </c>
      <c r="AB73" s="5">
        <v>10</v>
      </c>
      <c r="AC73" s="7">
        <f t="shared" si="63"/>
        <v>3</v>
      </c>
      <c r="AD73" s="6">
        <f t="shared" si="64"/>
        <v>1</v>
      </c>
      <c r="AE73" s="5">
        <v>5</v>
      </c>
      <c r="AF73" s="4">
        <f t="shared" si="65"/>
        <v>2</v>
      </c>
      <c r="AG73" s="4">
        <f t="shared" si="66"/>
        <v>3</v>
      </c>
      <c r="AH73" s="4">
        <f t="shared" si="67"/>
        <v>1</v>
      </c>
      <c r="AI73" s="4"/>
      <c r="AJ73" s="4">
        <f t="shared" si="69"/>
        <v>1</v>
      </c>
      <c r="AK73" s="4"/>
      <c r="AL73" s="4">
        <f t="shared" si="71"/>
        <v>0</v>
      </c>
      <c r="AM73" s="5">
        <v>1</v>
      </c>
      <c r="AO73" s="4">
        <f t="shared" si="72"/>
        <v>0</v>
      </c>
    </row>
    <row r="74" spans="1:41" ht="12.75">
      <c r="A74" s="17" t="s">
        <v>317</v>
      </c>
      <c r="B74" s="12" t="s">
        <v>316</v>
      </c>
      <c r="C74" s="9">
        <f t="shared" si="74"/>
        <v>15.345</v>
      </c>
      <c r="D74" s="17" t="s">
        <v>131</v>
      </c>
      <c r="E74" s="3" t="s">
        <v>12</v>
      </c>
      <c r="F74" s="7">
        <v>0</v>
      </c>
      <c r="G74" s="3" t="s">
        <v>11</v>
      </c>
      <c r="H74" s="3" t="s">
        <v>2</v>
      </c>
      <c r="I74" s="3"/>
      <c r="J74" s="3"/>
      <c r="K74" s="3"/>
      <c r="L74" s="3"/>
      <c r="M74" s="3"/>
      <c r="N74" s="10" t="str">
        <f>VLOOKUP(D74,Weapon_range,(VLOOKUP(E74,weapon_size_col,2,FALSE)),FALSE)</f>
        <v>2/3</v>
      </c>
      <c r="O74" s="10">
        <v>5</v>
      </c>
      <c r="P74" s="10">
        <v>1</v>
      </c>
      <c r="Q74" s="10">
        <v>-11</v>
      </c>
      <c r="R74" s="10">
        <v>-28</v>
      </c>
      <c r="S74" s="9">
        <f>VLOOKUP($D74,Weapon_mode,2,FALSE)+VLOOKUP($E74,Weapon_size,2,FALSE)</f>
        <v>-1</v>
      </c>
      <c r="T74" s="9">
        <f>VLOOKUP($D74,Weapon_mode,3,FALSE)++VLOOKUP($E74,Weapon_size,3,FALSE)</f>
        <v>0</v>
      </c>
      <c r="U74" s="9">
        <f>VLOOKUP($D74,Weapon_mode,4,FALSE)+VLOOKUP($E74,Weapon_size,4,FALSE)</f>
        <v>0</v>
      </c>
      <c r="V74" s="9">
        <f t="shared" si="75"/>
        <v>-9</v>
      </c>
      <c r="W74" s="7">
        <v>120</v>
      </c>
      <c r="X74" s="4" t="s">
        <v>21</v>
      </c>
      <c r="Y74" s="8" t="s">
        <v>315</v>
      </c>
      <c r="Z74" s="3" t="str">
        <f t="shared" si="73"/>
        <v>3d10+4</v>
      </c>
      <c r="AA74" t="s">
        <v>323</v>
      </c>
      <c r="AB74" s="5">
        <v>21</v>
      </c>
      <c r="AC74" s="7">
        <f t="shared" si="63"/>
        <v>14</v>
      </c>
      <c r="AD74" s="6">
        <f t="shared" si="64"/>
        <v>1.4</v>
      </c>
      <c r="AE74" s="5">
        <v>7</v>
      </c>
      <c r="AF74" s="4">
        <f t="shared" si="65"/>
        <v>2.1428571428571432</v>
      </c>
      <c r="AG74" s="4">
        <f t="shared" si="66"/>
        <v>9</v>
      </c>
      <c r="AH74" s="4">
        <f t="shared" si="67"/>
        <v>0.93</v>
      </c>
      <c r="AI74" s="4">
        <f>VLOOKUP(N74,Range,2,FALSE)</f>
        <v>1.25</v>
      </c>
      <c r="AJ74" s="4">
        <f t="shared" si="69"/>
        <v>1</v>
      </c>
      <c r="AK74" s="4">
        <f>VLOOKUP(X74,Interceptable,2,FALSE)</f>
        <v>1.1</v>
      </c>
      <c r="AL74" s="4">
        <f t="shared" si="71"/>
        <v>0</v>
      </c>
      <c r="AM74" s="5">
        <v>1</v>
      </c>
      <c r="AO74" s="4">
        <f t="shared" si="72"/>
        <v>11.508750000000003</v>
      </c>
    </row>
    <row r="75" spans="1:41" ht="12.75">
      <c r="A75" s="17" t="s">
        <v>314</v>
      </c>
      <c r="B75" s="12" t="s">
        <v>313</v>
      </c>
      <c r="C75" s="9">
        <f t="shared" si="74"/>
        <v>38.362500000000004</v>
      </c>
      <c r="D75" s="17" t="s">
        <v>131</v>
      </c>
      <c r="E75" s="3" t="s">
        <v>16</v>
      </c>
      <c r="F75" s="7">
        <v>0</v>
      </c>
      <c r="G75" s="3" t="s">
        <v>11</v>
      </c>
      <c r="H75" s="3" t="s">
        <v>2</v>
      </c>
      <c r="I75" s="3"/>
      <c r="J75" s="3"/>
      <c r="K75" s="3"/>
      <c r="L75" s="3"/>
      <c r="M75" s="3"/>
      <c r="N75" s="10" t="str">
        <f>VLOOKUP(D75,Weapon_range,(VLOOKUP(E75,weapon_size_col,2,FALSE)),FALSE)</f>
        <v>1/2</v>
      </c>
      <c r="O75" s="10">
        <v>5</v>
      </c>
      <c r="P75" s="10">
        <v>1</v>
      </c>
      <c r="Q75" s="10">
        <v>-11</v>
      </c>
      <c r="R75" s="10">
        <v>-28</v>
      </c>
      <c r="S75" s="9">
        <f>VLOOKUP($D75,Weapon_mode,2,FALSE)+VLOOKUP($E75,Weapon_size,2,FALSE)</f>
        <v>0</v>
      </c>
      <c r="T75" s="9">
        <f>VLOOKUP($D75,Weapon_mode,3,FALSE)++VLOOKUP($E75,Weapon_size,3,FALSE)</f>
        <v>0</v>
      </c>
      <c r="U75" s="9">
        <f>VLOOKUP($D75,Weapon_mode,4,FALSE)+VLOOKUP($E75,Weapon_size,4,FALSE)</f>
        <v>-1</v>
      </c>
      <c r="V75" s="9">
        <f t="shared" si="75"/>
        <v>-9</v>
      </c>
      <c r="W75" s="7">
        <v>120</v>
      </c>
      <c r="X75" s="4" t="s">
        <v>21</v>
      </c>
      <c r="Y75" s="8" t="s">
        <v>312</v>
      </c>
      <c r="Z75" s="3" t="str">
        <f t="shared" si="73"/>
        <v>6d10+8</v>
      </c>
      <c r="AA75" t="s">
        <v>132</v>
      </c>
      <c r="AB75" s="5">
        <v>42</v>
      </c>
      <c r="AC75" s="7">
        <f t="shared" si="63"/>
        <v>35</v>
      </c>
      <c r="AD75" s="6">
        <f t="shared" si="64"/>
        <v>1.4</v>
      </c>
      <c r="AE75" s="5">
        <v>10</v>
      </c>
      <c r="AF75" s="4">
        <f t="shared" si="65"/>
        <v>3</v>
      </c>
      <c r="AG75" s="4">
        <f t="shared" si="66"/>
        <v>22.5</v>
      </c>
      <c r="AH75" s="4">
        <f t="shared" si="67"/>
        <v>1</v>
      </c>
      <c r="AI75" s="4">
        <f>VLOOKUP(N75,Range,2,FALSE)</f>
        <v>1.4</v>
      </c>
      <c r="AJ75" s="4">
        <f t="shared" si="69"/>
        <v>1</v>
      </c>
      <c r="AK75" s="4">
        <f>VLOOKUP(X75,Interceptable,2,FALSE)</f>
        <v>1.1</v>
      </c>
      <c r="AL75" s="4">
        <f t="shared" si="71"/>
        <v>0</v>
      </c>
      <c r="AM75" s="5">
        <v>1</v>
      </c>
      <c r="AO75" s="4">
        <f t="shared" si="72"/>
        <v>34.65</v>
      </c>
    </row>
    <row r="76" spans="1:41" ht="12.75">
      <c r="A76" s="17" t="s">
        <v>929</v>
      </c>
      <c r="B76" s="12" t="s">
        <v>311</v>
      </c>
      <c r="C76" s="9">
        <f t="shared" si="74"/>
        <v>45.25868263473054</v>
      </c>
      <c r="D76" s="17" t="s">
        <v>131</v>
      </c>
      <c r="E76" s="3" t="s">
        <v>213</v>
      </c>
      <c r="F76" s="7">
        <v>0</v>
      </c>
      <c r="G76" s="3" t="s">
        <v>15</v>
      </c>
      <c r="H76" s="3"/>
      <c r="I76" s="3"/>
      <c r="J76" s="3"/>
      <c r="K76" s="3"/>
      <c r="L76" s="3"/>
      <c r="M76" s="3" t="s">
        <v>2</v>
      </c>
      <c r="N76" s="10" t="str">
        <f>VLOOKUP(D76,Weapon_range,(VLOOKUP(E76,weapon_size_col,2,FALSE)),FALSE)</f>
        <v>1/3</v>
      </c>
      <c r="O76" s="10">
        <v>3</v>
      </c>
      <c r="P76" s="10">
        <v>5</v>
      </c>
      <c r="Q76" s="10">
        <v>-7</v>
      </c>
      <c r="R76" s="10">
        <v>-24</v>
      </c>
      <c r="S76" s="9">
        <f>VLOOKUP($D76,Weapon_mode,2,FALSE)+VLOOKUP($E76,Weapon_size,2,FALSE)</f>
        <v>0</v>
      </c>
      <c r="T76" s="9">
        <f>VLOOKUP($D76,Weapon_mode,3,FALSE)++VLOOKUP($E76,Weapon_size,3,FALSE)</f>
        <v>-1</v>
      </c>
      <c r="U76" s="9">
        <f>VLOOKUP($D76,Weapon_mode,4,FALSE)+VLOOKUP($E76,Weapon_size,4,FALSE)</f>
        <v>-1</v>
      </c>
      <c r="V76" s="9">
        <f t="shared" si="75"/>
        <v>-6</v>
      </c>
      <c r="W76" s="7">
        <v>120</v>
      </c>
      <c r="X76" s="4" t="s">
        <v>2</v>
      </c>
      <c r="Y76" s="8" t="s">
        <v>310</v>
      </c>
      <c r="Z76" s="3" t="str">
        <f t="shared" si="73"/>
        <v>8d10+10</v>
      </c>
      <c r="AB76" s="5">
        <v>54</v>
      </c>
      <c r="AC76" s="7">
        <f>AB76-2</f>
        <v>52</v>
      </c>
      <c r="AD76" s="6">
        <f t="shared" si="64"/>
        <v>1.67</v>
      </c>
      <c r="AE76" s="5">
        <v>8</v>
      </c>
      <c r="AF76" s="4">
        <f t="shared" si="65"/>
        <v>4.041916167664671</v>
      </c>
      <c r="AG76" s="4">
        <f t="shared" si="66"/>
        <v>29.580838323353294</v>
      </c>
      <c r="AH76" s="4">
        <f t="shared" si="67"/>
        <v>1</v>
      </c>
      <c r="AI76" s="4">
        <f>VLOOKUP(N76,Range,2,FALSE)</f>
        <v>1.5</v>
      </c>
      <c r="AJ76" s="4">
        <f t="shared" si="69"/>
        <v>1</v>
      </c>
      <c r="AK76" s="4">
        <f>VLOOKUP(X76,Interceptable,2,FALSE)</f>
        <v>0.9</v>
      </c>
      <c r="AL76" s="4">
        <f t="shared" si="71"/>
        <v>0</v>
      </c>
      <c r="AM76" s="5">
        <v>1</v>
      </c>
      <c r="AO76" s="4">
        <f t="shared" si="72"/>
        <v>39.93413173652695</v>
      </c>
    </row>
    <row r="77" spans="1:41" ht="12.75">
      <c r="A77" s="17" t="s">
        <v>309</v>
      </c>
      <c r="B77" s="12" t="s">
        <v>308</v>
      </c>
      <c r="C77" s="9">
        <f t="shared" si="74"/>
        <v>0</v>
      </c>
      <c r="D77" s="17"/>
      <c r="E77" s="3"/>
      <c r="F77" s="7"/>
      <c r="G77" s="3"/>
      <c r="H77" s="3"/>
      <c r="I77" s="3"/>
      <c r="J77" s="3"/>
      <c r="K77" s="3"/>
      <c r="L77" s="3"/>
      <c r="M77" s="3"/>
      <c r="N77" s="10"/>
      <c r="O77" s="10"/>
      <c r="P77" s="10"/>
      <c r="Q77" s="10"/>
      <c r="R77" s="10"/>
      <c r="S77" s="9"/>
      <c r="T77" s="9"/>
      <c r="U77" s="9"/>
      <c r="V77" s="9">
        <f t="shared" si="75"/>
        <v>0</v>
      </c>
      <c r="W77" s="7"/>
      <c r="X77" s="4"/>
      <c r="Y77" s="8"/>
      <c r="Z77" s="3"/>
      <c r="AB77" s="5"/>
      <c r="AC77" s="7"/>
      <c r="AD77" s="6"/>
      <c r="AE77" s="5"/>
      <c r="AF77" s="4"/>
      <c r="AG77" s="4"/>
      <c r="AH77" s="4"/>
      <c r="AI77" s="4"/>
      <c r="AJ77" s="7"/>
      <c r="AK77" s="4"/>
      <c r="AL77" s="4"/>
      <c r="AO77" s="4"/>
    </row>
    <row r="78" spans="1:41" ht="12.75">
      <c r="A78" s="17"/>
      <c r="B78" s="12"/>
      <c r="C78" s="9">
        <f t="shared" si="74"/>
        <v>0</v>
      </c>
      <c r="D78" s="17"/>
      <c r="E78" s="3"/>
      <c r="F78" s="7"/>
      <c r="G78" s="3"/>
      <c r="H78" s="3"/>
      <c r="I78" s="3"/>
      <c r="J78" s="3"/>
      <c r="K78" s="3"/>
      <c r="L78" s="3"/>
      <c r="M78" s="3"/>
      <c r="N78" s="10"/>
      <c r="O78" s="10"/>
      <c r="P78" s="10"/>
      <c r="Q78" s="10"/>
      <c r="R78" s="10"/>
      <c r="S78" s="9"/>
      <c r="T78" s="9"/>
      <c r="U78" s="9"/>
      <c r="V78" s="9">
        <f t="shared" si="75"/>
        <v>0</v>
      </c>
      <c r="W78" s="7"/>
      <c r="X78" s="4"/>
      <c r="Y78" s="8"/>
      <c r="Z78" s="3"/>
      <c r="AB78" s="5"/>
      <c r="AC78" s="7"/>
      <c r="AD78" s="6"/>
      <c r="AE78" s="5"/>
      <c r="AF78" s="4"/>
      <c r="AG78" s="4"/>
      <c r="AH78" s="4"/>
      <c r="AI78" s="4"/>
      <c r="AJ78" s="7"/>
      <c r="AK78" s="4"/>
      <c r="AL78" s="4"/>
      <c r="AO78" s="4"/>
    </row>
    <row r="79" spans="1:41" ht="12.75">
      <c r="A79" s="21" t="s">
        <v>31</v>
      </c>
      <c r="B79" s="12"/>
      <c r="C79" s="9" t="e">
        <f t="shared" si="74"/>
        <v>#DIV/0!</v>
      </c>
      <c r="D79" s="17"/>
      <c r="E79" s="3"/>
      <c r="F79" s="7"/>
      <c r="G79" s="3"/>
      <c r="H79" s="3"/>
      <c r="I79" s="3"/>
      <c r="J79" s="3"/>
      <c r="K79" s="3"/>
      <c r="L79" s="3"/>
      <c r="M79" s="3"/>
      <c r="N79" s="10"/>
      <c r="O79" s="10"/>
      <c r="P79" s="10"/>
      <c r="Q79" s="10"/>
      <c r="R79" s="10"/>
      <c r="S79" s="9"/>
      <c r="T79" s="9"/>
      <c r="U79" s="9"/>
      <c r="V79" s="9">
        <f t="shared" si="75"/>
        <v>0</v>
      </c>
      <c r="W79" s="7"/>
      <c r="X79" s="4"/>
      <c r="Y79" s="8"/>
      <c r="Z79" s="5"/>
      <c r="AB79" s="5"/>
      <c r="AC79" s="7"/>
      <c r="AD79" s="6"/>
      <c r="AE79" s="5"/>
      <c r="AF79" s="4"/>
      <c r="AG79" s="4" t="e">
        <f aca="true" t="shared" si="76" ref="AG79:AG90">AC79/AD79*IF(H79="Y",raking,1)*IF(I79="Y",Pierce,1)*IF(J79="Y",Sustained,1)*IF(K79="Y",standard,1)*IF(L79="Y",Pulse,1)*IF(M79="Y",Flash,1)</f>
        <v>#DIV/0!</v>
      </c>
      <c r="AH79" s="4"/>
      <c r="AI79" s="4"/>
      <c r="AJ79" s="7"/>
      <c r="AK79" s="4"/>
      <c r="AL79" s="4"/>
      <c r="AO79" s="4"/>
    </row>
    <row r="80" spans="1:41" ht="12.75">
      <c r="A80" s="17" t="s">
        <v>277</v>
      </c>
      <c r="B80" s="12" t="s">
        <v>276</v>
      </c>
      <c r="C80" s="9">
        <f t="shared" si="74"/>
        <v>18.52389</v>
      </c>
      <c r="D80" s="17" t="s">
        <v>31</v>
      </c>
      <c r="E80" s="3" t="s">
        <v>16</v>
      </c>
      <c r="F80" s="7">
        <v>0</v>
      </c>
      <c r="G80" s="3" t="s">
        <v>212</v>
      </c>
      <c r="H80" s="3" t="s">
        <v>2</v>
      </c>
      <c r="I80" s="3" t="s">
        <v>2</v>
      </c>
      <c r="J80" s="3"/>
      <c r="K80" s="3"/>
      <c r="L80" s="3"/>
      <c r="M80" s="3"/>
      <c r="N80" s="10" t="str">
        <f>VLOOKUP(D80,Weapon_range,(VLOOKUP(E80,weapon_size_col,2,FALSE)),FALSE)</f>
        <v>2/3</v>
      </c>
      <c r="O80" s="10">
        <v>4</v>
      </c>
      <c r="P80" s="10">
        <v>3</v>
      </c>
      <c r="Q80" s="10">
        <v>-8</v>
      </c>
      <c r="R80" s="10">
        <v>-23</v>
      </c>
      <c r="S80" s="9">
        <f>VLOOKUP($D80,Weapon_mode,2,FALSE)+VLOOKUP($E80,Weapon_size,2,FALSE)</f>
        <v>0</v>
      </c>
      <c r="T80" s="9">
        <f>VLOOKUP($D80,Weapon_mode,3,FALSE)++VLOOKUP($E80,Weapon_size,3,FALSE)</f>
        <v>-1</v>
      </c>
      <c r="U80" s="9">
        <f>VLOOKUP($D80,Weapon_mode,4,FALSE)+VLOOKUP($E80,Weapon_size,4,FALSE)</f>
        <v>-3</v>
      </c>
      <c r="V80" s="9">
        <f t="shared" si="75"/>
        <v>-7</v>
      </c>
      <c r="W80" s="7">
        <v>120</v>
      </c>
      <c r="X80" s="4" t="s">
        <v>2</v>
      </c>
      <c r="Y80" s="8" t="s">
        <v>275</v>
      </c>
      <c r="Z80" s="3" t="str">
        <f>Y80</f>
        <v>2d10+30</v>
      </c>
      <c r="AB80" s="5">
        <v>41</v>
      </c>
      <c r="AC80" s="7">
        <f>AB80-8</f>
        <v>33</v>
      </c>
      <c r="AD80" s="6">
        <f>VLOOKUP(G80,RoF,2,FALSE)</f>
        <v>2.5</v>
      </c>
      <c r="AE80" s="5">
        <v>6</v>
      </c>
      <c r="AF80" s="4">
        <f>AB80/(AD80*AE80)</f>
        <v>2.7333333333333334</v>
      </c>
      <c r="AG80" s="4">
        <f t="shared" si="76"/>
        <v>12.474</v>
      </c>
      <c r="AH80" s="4">
        <f>VLOOKUP(S80,FireControl,2)</f>
        <v>1</v>
      </c>
      <c r="AI80" s="4">
        <f>VLOOKUP(N80,Range,2,FALSE)</f>
        <v>1.25</v>
      </c>
      <c r="AJ80" s="4">
        <f>VLOOKUP(W80,Arc,2,FALSE)</f>
        <v>1</v>
      </c>
      <c r="AK80" s="4">
        <f>VLOOKUP(X80,Interceptable,2,FALSE)</f>
        <v>0.9</v>
      </c>
      <c r="AL80" s="4">
        <f>VLOOKUP(F80,Interceptability,2,FALSE)</f>
        <v>0</v>
      </c>
      <c r="AM80" s="5">
        <v>1</v>
      </c>
      <c r="AO80" s="4">
        <f>MAX(AG80*AH80*AI80*AJ80*AK80*AM80,AL80)+MIN(AG80*AH80*AI80*AJ80*AK80,AL80)/2</f>
        <v>14.03325</v>
      </c>
    </row>
    <row r="81" spans="1:41" ht="12.75">
      <c r="A81" s="17" t="s">
        <v>274</v>
      </c>
      <c r="B81" s="2" t="s">
        <v>273</v>
      </c>
      <c r="C81" s="9">
        <f t="shared" si="74"/>
        <v>17.325000000000003</v>
      </c>
      <c r="D81" s="17" t="s">
        <v>4</v>
      </c>
      <c r="E81" s="3" t="s">
        <v>8</v>
      </c>
      <c r="F81" s="7">
        <v>-2</v>
      </c>
      <c r="G81" s="3" t="s">
        <v>3</v>
      </c>
      <c r="H81" s="3"/>
      <c r="I81" s="3"/>
      <c r="J81" s="3"/>
      <c r="K81" s="3" t="s">
        <v>2</v>
      </c>
      <c r="L81" s="3"/>
      <c r="M81" s="3"/>
      <c r="N81" s="10" t="str">
        <f>VLOOKUP(D81,Weapon_range,(VLOOKUP(E81,weapon_size_col,2,FALSE)),FALSE)</f>
        <v>2/3</v>
      </c>
      <c r="O81" s="10">
        <v>8</v>
      </c>
      <c r="P81" s="10">
        <v>-4</v>
      </c>
      <c r="Q81" s="10">
        <v>-21</v>
      </c>
      <c r="R81" s="10">
        <v>-35</v>
      </c>
      <c r="S81" s="9">
        <f>VLOOKUP($D81,Weapon_mode,2,FALSE)+VLOOKUP($E81,Weapon_size,2,FALSE)</f>
        <v>0</v>
      </c>
      <c r="T81" s="9">
        <f>VLOOKUP($D81,Weapon_mode,3,FALSE)++VLOOKUP($E81,Weapon_size,3,FALSE)</f>
        <v>2</v>
      </c>
      <c r="U81" s="9">
        <f>VLOOKUP($D81,Weapon_mode,4,FALSE)+VLOOKUP($E81,Weapon_size,4,FALSE)</f>
        <v>3</v>
      </c>
      <c r="V81" s="9">
        <f t="shared" si="75"/>
        <v>-15</v>
      </c>
      <c r="W81" s="7">
        <v>120</v>
      </c>
      <c r="X81" s="4" t="s">
        <v>21</v>
      </c>
      <c r="Y81" s="8" t="s">
        <v>272</v>
      </c>
      <c r="Z81" s="3" t="s">
        <v>272</v>
      </c>
      <c r="AB81" s="5">
        <v>14.5</v>
      </c>
      <c r="AC81" s="7">
        <f>AB81-4</f>
        <v>10.5</v>
      </c>
      <c r="AD81" s="6">
        <f>VLOOKUP(G81,RoF,2,FALSE)</f>
        <v>1</v>
      </c>
      <c r="AE81" s="5">
        <v>2</v>
      </c>
      <c r="AF81" s="4">
        <f>AB81/(AD81*AE81)</f>
        <v>7.25</v>
      </c>
      <c r="AG81" s="4">
        <f t="shared" si="76"/>
        <v>10.5</v>
      </c>
      <c r="AH81" s="4">
        <f>VLOOKUP(T81,FireControl,2)</f>
        <v>1.15</v>
      </c>
      <c r="AI81" s="4">
        <f>VLOOKUP(N81,Range,2,FALSE)</f>
        <v>1.25</v>
      </c>
      <c r="AJ81" s="4">
        <f>VLOOKUP(W81,Arc,2,FALSE)</f>
        <v>1</v>
      </c>
      <c r="AK81" s="4">
        <f>VLOOKUP(X81,Interceptable,2,FALSE)</f>
        <v>1.1</v>
      </c>
      <c r="AL81" s="4">
        <f>VLOOKUP(F81,Interceptability,2,FALSE)</f>
        <v>2</v>
      </c>
      <c r="AM81" s="5">
        <v>1</v>
      </c>
      <c r="AO81" s="4">
        <f>MAX(AG81*AH81*AI81*AJ81*AK81*AM81,AL81)+MIN(AG81*AH81*AI81*AJ81*AK81,AL81)/2</f>
        <v>17.603125000000002</v>
      </c>
    </row>
    <row r="82" spans="2:41" ht="12.75">
      <c r="B82" s="12"/>
      <c r="C82" s="9" t="e">
        <f t="shared" si="74"/>
        <v>#DIV/0!</v>
      </c>
      <c r="D82" s="17"/>
      <c r="E82" s="3"/>
      <c r="F82" s="7"/>
      <c r="G82" s="3"/>
      <c r="H82" s="3"/>
      <c r="I82" s="3"/>
      <c r="J82" s="3"/>
      <c r="K82" s="3"/>
      <c r="L82" s="3"/>
      <c r="M82" s="3"/>
      <c r="N82" s="10"/>
      <c r="O82" s="10"/>
      <c r="P82" s="10"/>
      <c r="Q82" s="10"/>
      <c r="R82" s="10"/>
      <c r="S82" s="9"/>
      <c r="T82" s="9"/>
      <c r="U82" s="9"/>
      <c r="V82" s="9">
        <f t="shared" si="75"/>
        <v>0</v>
      </c>
      <c r="W82" s="7"/>
      <c r="X82" s="4"/>
      <c r="Y82" s="8"/>
      <c r="Z82" s="5"/>
      <c r="AB82" s="5"/>
      <c r="AC82" s="7"/>
      <c r="AD82" s="6"/>
      <c r="AE82" s="5"/>
      <c r="AF82" s="4"/>
      <c r="AG82" s="4" t="e">
        <f t="shared" si="76"/>
        <v>#DIV/0!</v>
      </c>
      <c r="AH82" s="4"/>
      <c r="AI82" s="4"/>
      <c r="AJ82" s="7"/>
      <c r="AK82" s="4"/>
      <c r="AL82" s="4"/>
      <c r="AO82" s="4"/>
    </row>
    <row r="83" spans="1:41" ht="12.75">
      <c r="A83" s="17"/>
      <c r="B83" s="12"/>
      <c r="C83" s="9" t="e">
        <f t="shared" si="74"/>
        <v>#DIV/0!</v>
      </c>
      <c r="D83" s="17"/>
      <c r="E83" s="3"/>
      <c r="F83" s="7"/>
      <c r="G83" s="3"/>
      <c r="H83" s="3"/>
      <c r="I83" s="3"/>
      <c r="J83" s="3"/>
      <c r="K83" s="3"/>
      <c r="L83" s="3"/>
      <c r="M83" s="3"/>
      <c r="N83" s="10"/>
      <c r="O83" s="10"/>
      <c r="P83" s="10"/>
      <c r="Q83" s="10"/>
      <c r="R83" s="10"/>
      <c r="S83" s="9"/>
      <c r="T83" s="9"/>
      <c r="U83" s="9"/>
      <c r="V83" s="9">
        <f t="shared" si="75"/>
        <v>0</v>
      </c>
      <c r="W83" s="7"/>
      <c r="X83" s="4"/>
      <c r="Y83" s="8"/>
      <c r="Z83" s="5"/>
      <c r="AB83" s="5"/>
      <c r="AC83" s="7"/>
      <c r="AD83" s="6"/>
      <c r="AE83" s="5"/>
      <c r="AF83" s="4"/>
      <c r="AG83" s="4" t="e">
        <f t="shared" si="76"/>
        <v>#DIV/0!</v>
      </c>
      <c r="AH83" s="4"/>
      <c r="AI83" s="4"/>
      <c r="AJ83" s="7"/>
      <c r="AK83" s="4"/>
      <c r="AL83" s="4"/>
      <c r="AO83" s="4"/>
    </row>
    <row r="84" spans="1:41" ht="12.75">
      <c r="A84" s="21" t="s">
        <v>262</v>
      </c>
      <c r="B84" s="12"/>
      <c r="C84" s="9" t="e">
        <f t="shared" si="74"/>
        <v>#VALUE!</v>
      </c>
      <c r="D84" s="17"/>
      <c r="E84" s="3"/>
      <c r="F84" s="7"/>
      <c r="G84" s="3"/>
      <c r="H84" s="3"/>
      <c r="I84" s="3"/>
      <c r="J84" s="3"/>
      <c r="K84" s="3"/>
      <c r="L84" s="3"/>
      <c r="M84" s="3"/>
      <c r="N84" s="10"/>
      <c r="O84" s="10"/>
      <c r="P84" s="10"/>
      <c r="Q84" s="10"/>
      <c r="R84" s="10"/>
      <c r="S84" s="9"/>
      <c r="T84" s="9"/>
      <c r="U84" s="9"/>
      <c r="V84" s="9">
        <f t="shared" si="75"/>
        <v>0</v>
      </c>
      <c r="W84" s="7"/>
      <c r="X84" s="4"/>
      <c r="Y84" s="8"/>
      <c r="Z84" s="5"/>
      <c r="AB84" s="5"/>
      <c r="AC84" s="7" t="s">
        <v>270</v>
      </c>
      <c r="AD84" s="6"/>
      <c r="AE84" s="5"/>
      <c r="AF84" s="4"/>
      <c r="AG84" s="4" t="e">
        <f t="shared" si="76"/>
        <v>#VALUE!</v>
      </c>
      <c r="AH84" s="4"/>
      <c r="AI84" s="4"/>
      <c r="AJ84" s="7"/>
      <c r="AK84" s="4"/>
      <c r="AL84" s="4"/>
      <c r="AO84" s="4"/>
    </row>
    <row r="85" spans="1:41" ht="12.75">
      <c r="A85" s="17" t="s">
        <v>269</v>
      </c>
      <c r="B85" s="12" t="s">
        <v>268</v>
      </c>
      <c r="C85" s="9">
        <f t="shared" si="74"/>
        <v>14.712574850299404</v>
      </c>
      <c r="D85" s="17" t="s">
        <v>262</v>
      </c>
      <c r="E85" s="3" t="s">
        <v>12</v>
      </c>
      <c r="F85" s="7">
        <v>0</v>
      </c>
      <c r="G85" s="3" t="s">
        <v>15</v>
      </c>
      <c r="H85" s="3"/>
      <c r="I85" s="3" t="s">
        <v>2</v>
      </c>
      <c r="J85" s="3"/>
      <c r="K85" s="3" t="s">
        <v>2</v>
      </c>
      <c r="L85" s="3"/>
      <c r="M85" s="3"/>
      <c r="N85" s="10" t="str">
        <f>VLOOKUP(D85,Weapon_range,(VLOOKUP(E85,weapon_size_col,2,FALSE)),FALSE)</f>
        <v>3/2</v>
      </c>
      <c r="O85" s="10">
        <v>5</v>
      </c>
      <c r="P85" s="10">
        <v>-2</v>
      </c>
      <c r="Q85" s="10">
        <v>-18</v>
      </c>
      <c r="R85" s="10">
        <v>-42</v>
      </c>
      <c r="S85" s="9">
        <f>VLOOKUP($D85,Weapon_mode,2,FALSE)+VLOOKUP($E85,Weapon_size,2,FALSE)</f>
        <v>-2</v>
      </c>
      <c r="T85" s="9">
        <f>VLOOKUP($D85,Weapon_mode,3,FALSE)++VLOOKUP($E85,Weapon_size,3,FALSE)</f>
        <v>-2</v>
      </c>
      <c r="U85" s="9">
        <f>VLOOKUP($D85,Weapon_mode,4,FALSE)+VLOOKUP($E85,Weapon_size,4,FALSE)</f>
        <v>-3</v>
      </c>
      <c r="V85" s="9">
        <f t="shared" si="75"/>
        <v>-14</v>
      </c>
      <c r="W85" s="7">
        <v>120</v>
      </c>
      <c r="X85" s="4" t="s">
        <v>2</v>
      </c>
      <c r="Y85" s="8" t="s">
        <v>267</v>
      </c>
      <c r="Z85" s="3" t="str">
        <f>Y85</f>
        <v>3d10 + 3</v>
      </c>
      <c r="AB85" s="5">
        <v>20</v>
      </c>
      <c r="AC85" s="7">
        <f>AB85</f>
        <v>20</v>
      </c>
      <c r="AD85" s="6">
        <f>VLOOKUP(G85,RoF,2,FALSE)</f>
        <v>1.67</v>
      </c>
      <c r="AE85" s="5">
        <v>6</v>
      </c>
      <c r="AF85" s="4">
        <f>AB85/(AD85*AE85)</f>
        <v>1.9960079840319362</v>
      </c>
      <c r="AG85" s="4">
        <f t="shared" si="76"/>
        <v>12.574850299401199</v>
      </c>
      <c r="AH85" s="4">
        <f>VLOOKUP(S85,FireControl,2)</f>
        <v>0.87</v>
      </c>
      <c r="AI85" s="4">
        <f>VLOOKUP(N85,Range,2,FALSE)</f>
        <v>0.8</v>
      </c>
      <c r="AJ85" s="4">
        <f>VLOOKUP(W85,Arc,2,FALSE)</f>
        <v>1</v>
      </c>
      <c r="AK85" s="4">
        <f>VLOOKUP(X85,Interceptable,2,FALSE)</f>
        <v>0.9</v>
      </c>
      <c r="AL85" s="4">
        <f>VLOOKUP(F85,Interceptability,2,FALSE)</f>
        <v>0</v>
      </c>
      <c r="AM85" s="5">
        <v>1</v>
      </c>
      <c r="AO85" s="4">
        <f>MAX(AG85*AH85*AI85*AJ85*AK85*AM85,AL85)+MIN(AG85*AH85*AI85*AJ85*AK85,AL85)/2</f>
        <v>7.876886227544912</v>
      </c>
    </row>
    <row r="86" spans="1:41" ht="12.75">
      <c r="A86" s="17" t="s">
        <v>907</v>
      </c>
      <c r="B86" s="12" t="s">
        <v>908</v>
      </c>
      <c r="C86" s="9">
        <f t="shared" si="74"/>
        <v>11.034431137724553</v>
      </c>
      <c r="D86" s="17" t="s">
        <v>262</v>
      </c>
      <c r="E86" s="3" t="s">
        <v>16</v>
      </c>
      <c r="F86" s="7">
        <v>0</v>
      </c>
      <c r="G86" s="3" t="s">
        <v>15</v>
      </c>
      <c r="H86" s="3"/>
      <c r="I86" s="3" t="s">
        <v>2</v>
      </c>
      <c r="J86" s="3"/>
      <c r="K86" s="3" t="s">
        <v>2</v>
      </c>
      <c r="L86" s="3"/>
      <c r="M86" s="3"/>
      <c r="N86" s="10" t="str">
        <f>VLOOKUP(D86,Weapon_range,(VLOOKUP(E86,weapon_size_col,2,FALSE)),FALSE)</f>
        <v>1/1</v>
      </c>
      <c r="O86" s="10">
        <v>4</v>
      </c>
      <c r="P86" s="10">
        <v>1</v>
      </c>
      <c r="Q86" s="10">
        <v>-12</v>
      </c>
      <c r="R86" s="10">
        <v>-22</v>
      </c>
      <c r="S86" s="9">
        <f>VLOOKUP($D86,Weapon_mode,2,FALSE)+VLOOKUP($E86,Weapon_size,2,FALSE)</f>
        <v>-1</v>
      </c>
      <c r="T86" s="9">
        <f>VLOOKUP($D86,Weapon_mode,3,FALSE)++VLOOKUP($E86,Weapon_size,3,FALSE)</f>
        <v>-2</v>
      </c>
      <c r="U86" s="9">
        <f>VLOOKUP($D86,Weapon_mode,4,FALSE)+VLOOKUP($E86,Weapon_size,4,FALSE)</f>
        <v>-4</v>
      </c>
      <c r="V86" s="9">
        <f t="shared" si="75"/>
        <v>-10</v>
      </c>
      <c r="W86" s="7">
        <v>120</v>
      </c>
      <c r="X86" s="4" t="s">
        <v>2</v>
      </c>
      <c r="Y86" s="8" t="s">
        <v>263</v>
      </c>
      <c r="Z86" s="3" t="str">
        <f>Y86</f>
        <v>2d10 + 2</v>
      </c>
      <c r="AB86" s="5">
        <v>13</v>
      </c>
      <c r="AC86" s="7">
        <f>AB86</f>
        <v>13</v>
      </c>
      <c r="AD86" s="6">
        <f>VLOOKUP(G86,RoF,2,FALSE)</f>
        <v>1.67</v>
      </c>
      <c r="AE86" s="5">
        <v>4</v>
      </c>
      <c r="AF86" s="4">
        <f>AB86/(AD86*AE86)</f>
        <v>1.9461077844311379</v>
      </c>
      <c r="AG86" s="4">
        <f t="shared" si="76"/>
        <v>8.17365269461078</v>
      </c>
      <c r="AH86" s="4">
        <f>VLOOKUP(S86,FireControl,2)</f>
        <v>0.93</v>
      </c>
      <c r="AI86" s="4">
        <f>VLOOKUP(N86,Range,2,FALSE)</f>
        <v>1</v>
      </c>
      <c r="AJ86" s="4">
        <f>VLOOKUP(W86,Arc,2,FALSE)</f>
        <v>1</v>
      </c>
      <c r="AK86" s="4">
        <f>VLOOKUP(X86,Interceptable,2,FALSE)</f>
        <v>0.9</v>
      </c>
      <c r="AL86" s="4">
        <f>VLOOKUP(F86,Interceptability,2,FALSE)</f>
        <v>0</v>
      </c>
      <c r="AM86" s="5">
        <v>1</v>
      </c>
      <c r="AO86" s="4">
        <f>MAX(AG86*AH86*AI86*AJ86*AK86*AM86,AL86)+MIN(AG86*AH86*AI86*AJ86*AK86,AL86)/2</f>
        <v>6.841347305389224</v>
      </c>
    </row>
    <row r="87" spans="1:41" ht="12.75">
      <c r="A87" s="17" t="s">
        <v>906</v>
      </c>
      <c r="B87" s="12" t="s">
        <v>909</v>
      </c>
      <c r="C87" s="9">
        <f t="shared" si="74"/>
        <v>11.407500000000002</v>
      </c>
      <c r="D87" s="17" t="s">
        <v>262</v>
      </c>
      <c r="E87" s="3" t="s">
        <v>12</v>
      </c>
      <c r="F87" s="7">
        <v>0</v>
      </c>
      <c r="G87" s="3" t="s">
        <v>11</v>
      </c>
      <c r="H87" s="3"/>
      <c r="I87" s="3" t="s">
        <v>2</v>
      </c>
      <c r="J87" s="3"/>
      <c r="K87" s="3" t="s">
        <v>2</v>
      </c>
      <c r="L87" s="3"/>
      <c r="M87" s="3"/>
      <c r="N87" s="10" t="str">
        <f>VLOOKUP(D87,Weapon_range,(VLOOKUP(E87,weapon_size_col,2,FALSE)),FALSE)</f>
        <v>3/2</v>
      </c>
      <c r="O87" s="10">
        <v>5</v>
      </c>
      <c r="P87" s="10">
        <v>-2</v>
      </c>
      <c r="Q87" s="10">
        <v>-18</v>
      </c>
      <c r="R87" s="10">
        <v>-42</v>
      </c>
      <c r="S87" s="9">
        <f>VLOOKUP($D87,Weapon_mode,2,FALSE)+VLOOKUP($E87,Weapon_size,2,FALSE)</f>
        <v>-2</v>
      </c>
      <c r="T87" s="9">
        <f>VLOOKUP($D87,Weapon_mode,3,FALSE)++VLOOKUP($E87,Weapon_size,3,FALSE)</f>
        <v>-2</v>
      </c>
      <c r="U87" s="9">
        <f>VLOOKUP($D87,Weapon_mode,4,FALSE)+VLOOKUP($E87,Weapon_size,4,FALSE)</f>
        <v>-3</v>
      </c>
      <c r="V87" s="9">
        <f t="shared" si="75"/>
        <v>-14</v>
      </c>
      <c r="W87" s="7">
        <v>120</v>
      </c>
      <c r="X87" s="4" t="s">
        <v>2</v>
      </c>
      <c r="Y87" s="8" t="s">
        <v>263</v>
      </c>
      <c r="Z87" s="3" t="str">
        <f>Y87</f>
        <v>2d10 + 2</v>
      </c>
      <c r="AB87" s="5">
        <v>13</v>
      </c>
      <c r="AC87" s="7">
        <f>AB87</f>
        <v>13</v>
      </c>
      <c r="AD87" s="6">
        <f>VLOOKUP(G87,RoF,2,FALSE)</f>
        <v>1.4</v>
      </c>
      <c r="AE87" s="5">
        <v>4</v>
      </c>
      <c r="AF87" s="4">
        <f>AB87/(AD87*AE87)</f>
        <v>2.3214285714285716</v>
      </c>
      <c r="AG87" s="4">
        <f t="shared" si="76"/>
        <v>9.750000000000002</v>
      </c>
      <c r="AH87" s="4">
        <f>VLOOKUP(S87,FireControl,2)</f>
        <v>0.87</v>
      </c>
      <c r="AI87" s="4">
        <f>VLOOKUP(N87,Range,2,FALSE)</f>
        <v>0.8</v>
      </c>
      <c r="AJ87" s="4">
        <f>VLOOKUP(W87,Arc,2,FALSE)</f>
        <v>1</v>
      </c>
      <c r="AK87" s="4">
        <f>VLOOKUP(X87,Interceptable,2,FALSE)</f>
        <v>0.9</v>
      </c>
      <c r="AL87" s="4">
        <f>VLOOKUP(F87,Interceptability,2,FALSE)</f>
        <v>0</v>
      </c>
      <c r="AM87" s="5">
        <v>1</v>
      </c>
      <c r="AO87" s="4">
        <f>MAX(AG87*AH87*AI87*AJ87*AK87*AM87,AL87)+MIN(AG87*AH87*AI87*AJ87*AK87,AL87)/2</f>
        <v>6.107400000000001</v>
      </c>
    </row>
    <row r="88" spans="1:41" ht="12.75">
      <c r="A88" s="17" t="s">
        <v>266</v>
      </c>
      <c r="B88" s="12" t="s">
        <v>265</v>
      </c>
      <c r="C88" s="9">
        <f t="shared" si="74"/>
        <v>10.530000000000003</v>
      </c>
      <c r="D88" s="17" t="s">
        <v>262</v>
      </c>
      <c r="E88" s="3" t="s">
        <v>8</v>
      </c>
      <c r="F88" s="7">
        <v>0</v>
      </c>
      <c r="G88" s="3" t="s">
        <v>11</v>
      </c>
      <c r="H88" s="3"/>
      <c r="I88" s="3" t="s">
        <v>2</v>
      </c>
      <c r="J88" s="3"/>
      <c r="K88" s="3" t="s">
        <v>2</v>
      </c>
      <c r="L88" s="3"/>
      <c r="M88" s="3"/>
      <c r="N88" s="10" t="str">
        <f>VLOOKUP(D88,Weapon_range,(VLOOKUP(E88,weapon_size_col,2,FALSE)),FALSE)</f>
        <v>2/1</v>
      </c>
      <c r="O88" s="10">
        <v>8</v>
      </c>
      <c r="P88" s="10">
        <v>-6</v>
      </c>
      <c r="Q88" s="10">
        <v>-25</v>
      </c>
      <c r="R88" s="10">
        <v>-56</v>
      </c>
      <c r="S88" s="9">
        <f>VLOOKUP($D88,Weapon_mode,2,FALSE)+VLOOKUP($E88,Weapon_size,2,FALSE)</f>
        <v>-2</v>
      </c>
      <c r="T88" s="9">
        <f>VLOOKUP($D88,Weapon_mode,3,FALSE)++VLOOKUP($E88,Weapon_size,3,FALSE)</f>
        <v>-1</v>
      </c>
      <c r="U88" s="9">
        <f>VLOOKUP($D88,Weapon_mode,4,FALSE)+VLOOKUP($E88,Weapon_size,4,FALSE)</f>
        <v>-1</v>
      </c>
      <c r="V88" s="9">
        <f t="shared" si="75"/>
        <v>-16</v>
      </c>
      <c r="W88" s="7">
        <v>120</v>
      </c>
      <c r="X88" s="4" t="s">
        <v>2</v>
      </c>
      <c r="Y88" s="8" t="s">
        <v>263</v>
      </c>
      <c r="Z88" s="3" t="str">
        <f>Y88</f>
        <v>2d10 + 2</v>
      </c>
      <c r="AB88" s="5">
        <v>13</v>
      </c>
      <c r="AC88" s="7">
        <f>AB88</f>
        <v>13</v>
      </c>
      <c r="AD88" s="6">
        <f>VLOOKUP(G88,RoF,2,FALSE)</f>
        <v>1.4</v>
      </c>
      <c r="AE88" s="5">
        <v>4</v>
      </c>
      <c r="AF88" s="4">
        <f>AB88/(AD88*AE88)</f>
        <v>2.3214285714285716</v>
      </c>
      <c r="AG88" s="4">
        <f t="shared" si="76"/>
        <v>9.750000000000002</v>
      </c>
      <c r="AH88" s="4">
        <f>VLOOKUP(S88,FireControl,2)</f>
        <v>0.87</v>
      </c>
      <c r="AI88" s="4">
        <f>VLOOKUP(N88,Range,2,FALSE)</f>
        <v>0.65</v>
      </c>
      <c r="AJ88" s="4">
        <f>VLOOKUP(W88,Arc,2,FALSE)</f>
        <v>1</v>
      </c>
      <c r="AK88" s="4">
        <f>VLOOKUP(X88,Interceptable,2,FALSE)</f>
        <v>0.9</v>
      </c>
      <c r="AL88" s="4">
        <f>VLOOKUP(F88,Interceptability,2,FALSE)</f>
        <v>0</v>
      </c>
      <c r="AM88" s="5">
        <v>1</v>
      </c>
      <c r="AO88" s="4">
        <f>MAX(AG88*AH88*AI88*AJ88*AK88*AM88,AL88)+MIN(AG88*AH88*AI88*AJ88*AK88,AL88)/2</f>
        <v>4.962262500000001</v>
      </c>
    </row>
    <row r="89" spans="1:41" ht="12.75">
      <c r="A89" s="17" t="s">
        <v>266</v>
      </c>
      <c r="B89" s="12" t="s">
        <v>898</v>
      </c>
      <c r="C89" s="9">
        <f t="shared" si="74"/>
        <v>11.583000000000004</v>
      </c>
      <c r="D89" s="17" t="s">
        <v>262</v>
      </c>
      <c r="E89" s="3" t="s">
        <v>8</v>
      </c>
      <c r="F89" s="7">
        <v>0</v>
      </c>
      <c r="G89" s="3" t="s">
        <v>11</v>
      </c>
      <c r="H89" s="3"/>
      <c r="I89" s="3" t="s">
        <v>2</v>
      </c>
      <c r="J89" s="3"/>
      <c r="K89" s="3" t="s">
        <v>2</v>
      </c>
      <c r="L89" s="3"/>
      <c r="M89" s="3"/>
      <c r="N89" s="10" t="str">
        <f>VLOOKUP(D89,Weapon_range,(VLOOKUP(E89,weapon_size_col,2,FALSE)),FALSE)</f>
        <v>2/1</v>
      </c>
      <c r="O89" s="10">
        <v>8</v>
      </c>
      <c r="P89" s="10">
        <v>-6</v>
      </c>
      <c r="Q89" s="10">
        <v>-25</v>
      </c>
      <c r="R89" s="10">
        <v>-56</v>
      </c>
      <c r="S89" s="9">
        <f>VLOOKUP($D89,Weapon_mode,2,FALSE)+VLOOKUP($E89,Weapon_size,2,FALSE)</f>
        <v>-2</v>
      </c>
      <c r="T89" s="9">
        <f>VLOOKUP($D89,Weapon_mode,3,FALSE)++VLOOKUP($E89,Weapon_size,3,FALSE)</f>
        <v>-1</v>
      </c>
      <c r="U89" s="9">
        <f>VLOOKUP($D89,Weapon_mode,4,FALSE)+VLOOKUP($E89,Weapon_size,4,FALSE)</f>
        <v>-1</v>
      </c>
      <c r="V89" s="9">
        <f t="shared" si="75"/>
        <v>-16</v>
      </c>
      <c r="W89" s="7">
        <v>180</v>
      </c>
      <c r="X89" s="4" t="s">
        <v>2</v>
      </c>
      <c r="Y89" s="8" t="s">
        <v>263</v>
      </c>
      <c r="Z89" s="3" t="str">
        <f>Y89</f>
        <v>2d10 + 2</v>
      </c>
      <c r="AB89" s="5">
        <v>13</v>
      </c>
      <c r="AC89" s="7">
        <f>AB89</f>
        <v>13</v>
      </c>
      <c r="AD89" s="6">
        <f>VLOOKUP(G89,RoF,2,FALSE)</f>
        <v>1.4</v>
      </c>
      <c r="AE89" s="5">
        <v>4</v>
      </c>
      <c r="AF89" s="4">
        <f>AB89/(AD89*AE89)</f>
        <v>2.3214285714285716</v>
      </c>
      <c r="AG89" s="4">
        <f t="shared" si="76"/>
        <v>9.750000000000002</v>
      </c>
      <c r="AH89" s="4">
        <f>VLOOKUP(S89,FireControl,2)</f>
        <v>0.87</v>
      </c>
      <c r="AI89" s="4">
        <f>VLOOKUP(N89,Range,2,FALSE)</f>
        <v>0.65</v>
      </c>
      <c r="AJ89" s="4">
        <f>VLOOKUP(W89,Arc,2,FALSE)</f>
        <v>1.1</v>
      </c>
      <c r="AK89" s="4">
        <f>VLOOKUP(X89,Interceptable,2,FALSE)</f>
        <v>0.9</v>
      </c>
      <c r="AL89" s="4">
        <f>VLOOKUP(F89,Interceptability,2,FALSE)</f>
        <v>0</v>
      </c>
      <c r="AM89" s="5">
        <v>1</v>
      </c>
      <c r="AO89" s="4">
        <f>MAX(AG89*AH89*AI89*AJ89*AK89*AM89,AL89)+MIN(AG89*AH89*AI89*AJ89*AK89,AL89)/2</f>
        <v>5.458488750000002</v>
      </c>
    </row>
    <row r="90" spans="1:41" ht="12.75">
      <c r="A90" s="17"/>
      <c r="B90" s="12"/>
      <c r="C90" s="9" t="e">
        <f t="shared" si="74"/>
        <v>#DIV/0!</v>
      </c>
      <c r="D90" s="17"/>
      <c r="E90" s="3"/>
      <c r="F90" s="7"/>
      <c r="G90" s="3"/>
      <c r="H90" s="3"/>
      <c r="I90" s="3"/>
      <c r="J90" s="3"/>
      <c r="K90" s="3"/>
      <c r="L90" s="3"/>
      <c r="M90" s="3"/>
      <c r="N90" s="10"/>
      <c r="O90" s="10"/>
      <c r="P90" s="10"/>
      <c r="Q90" s="10"/>
      <c r="R90" s="10"/>
      <c r="S90" s="9"/>
      <c r="T90" s="9"/>
      <c r="U90" s="9"/>
      <c r="V90" s="9">
        <f t="shared" si="75"/>
        <v>0</v>
      </c>
      <c r="W90" s="7"/>
      <c r="X90" s="4"/>
      <c r="Y90" s="8"/>
      <c r="Z90" s="5"/>
      <c r="AB90" s="5"/>
      <c r="AC90" s="7"/>
      <c r="AD90" s="6"/>
      <c r="AE90" s="5"/>
      <c r="AF90" s="4"/>
      <c r="AG90" s="4" t="e">
        <f t="shared" si="76"/>
        <v>#DIV/0!</v>
      </c>
      <c r="AH90" s="4"/>
      <c r="AI90" s="4"/>
      <c r="AJ90" s="7"/>
      <c r="AK90" s="4"/>
      <c r="AL90" s="4"/>
      <c r="AO90" s="4"/>
    </row>
    <row r="91" spans="1:41" ht="12.75">
      <c r="A91" s="21" t="s">
        <v>307</v>
      </c>
      <c r="B91" s="12"/>
      <c r="C91" s="9">
        <f t="shared" si="74"/>
        <v>0</v>
      </c>
      <c r="D91" s="17"/>
      <c r="E91" s="3"/>
      <c r="F91" s="7"/>
      <c r="G91" s="3"/>
      <c r="H91" s="3"/>
      <c r="I91" s="3"/>
      <c r="J91" s="3"/>
      <c r="K91" s="3"/>
      <c r="L91" s="3"/>
      <c r="M91" s="3"/>
      <c r="N91" s="10"/>
      <c r="O91" s="10"/>
      <c r="P91" s="10"/>
      <c r="Q91" s="10"/>
      <c r="R91" s="10"/>
      <c r="S91" s="9"/>
      <c r="T91" s="9"/>
      <c r="U91" s="9"/>
      <c r="V91" s="9">
        <f t="shared" si="75"/>
        <v>0</v>
      </c>
      <c r="W91" s="7"/>
      <c r="X91" s="4"/>
      <c r="Y91" s="8"/>
      <c r="Z91" s="24"/>
      <c r="AB91" s="5"/>
      <c r="AC91" s="7"/>
      <c r="AD91" s="6"/>
      <c r="AE91" s="5"/>
      <c r="AF91" s="4"/>
      <c r="AG91" s="4"/>
      <c r="AH91" s="4"/>
      <c r="AI91" s="4"/>
      <c r="AJ91" s="4"/>
      <c r="AK91" s="4"/>
      <c r="AL91" s="4"/>
      <c r="AO91" s="4"/>
    </row>
    <row r="92" spans="1:41" ht="12.75">
      <c r="A92" s="28" t="s">
        <v>305</v>
      </c>
      <c r="B92" s="12" t="s">
        <v>304</v>
      </c>
      <c r="C92" s="9">
        <f t="shared" si="74"/>
        <v>25.42995</v>
      </c>
      <c r="D92" t="s">
        <v>31</v>
      </c>
      <c r="E92" s="3" t="s">
        <v>251</v>
      </c>
      <c r="F92" s="7">
        <v>-3</v>
      </c>
      <c r="G92" s="3" t="s">
        <v>108</v>
      </c>
      <c r="H92" s="3"/>
      <c r="I92" s="3"/>
      <c r="J92" s="3"/>
      <c r="K92" s="3"/>
      <c r="L92" s="3" t="s">
        <v>2</v>
      </c>
      <c r="M92" s="3"/>
      <c r="N92" s="10" t="str">
        <f aca="true" t="shared" si="77" ref="N92:N102">VLOOKUP(D92,Weapon_range,(VLOOKUP(E92,weapon_size_col,2,FALSE)),FALSE)</f>
        <v>2/1</v>
      </c>
      <c r="O92" s="10">
        <v>8</v>
      </c>
      <c r="P92" s="10">
        <v>-11</v>
      </c>
      <c r="Q92" s="10">
        <v>-33</v>
      </c>
      <c r="R92" s="10">
        <v>-70</v>
      </c>
      <c r="S92" s="9">
        <f aca="true" t="shared" si="78" ref="S92:S102">VLOOKUP($D92,Weapon_mode,2,FALSE)+VLOOKUP($E92,Weapon_size,2,FALSE)</f>
        <v>-1</v>
      </c>
      <c r="T92" s="9">
        <f aca="true" t="shared" si="79" ref="T92:T102">VLOOKUP($D92,Weapon_mode,3,FALSE)++VLOOKUP($E92,Weapon_size,3,FALSE)</f>
        <v>1</v>
      </c>
      <c r="U92" s="9">
        <f aca="true" t="shared" si="80" ref="U92:U102">VLOOKUP($D92,Weapon_mode,4,FALSE)+VLOOKUP($E92,Weapon_size,4,FALSE)</f>
        <v>2</v>
      </c>
      <c r="V92" s="9">
        <f t="shared" si="75"/>
        <v>-19</v>
      </c>
      <c r="W92" s="7">
        <v>240</v>
      </c>
      <c r="X92" s="4" t="s">
        <v>2</v>
      </c>
      <c r="Y92" s="8" t="s">
        <v>303</v>
      </c>
      <c r="Z92" s="3" t="s">
        <v>303</v>
      </c>
      <c r="AB92" s="5">
        <v>5</v>
      </c>
      <c r="AC92" s="7">
        <f>AB92-2</f>
        <v>3</v>
      </c>
      <c r="AD92" s="6">
        <f aca="true" t="shared" si="81" ref="AD92:AD102">VLOOKUP(G92,RoF,2,FALSE)</f>
        <v>0.2</v>
      </c>
      <c r="AE92" s="5">
        <v>3</v>
      </c>
      <c r="AF92" s="4">
        <f aca="true" t="shared" si="82" ref="AF92:AF102">AB92/(AD92*AE92)</f>
        <v>8.333333333333332</v>
      </c>
      <c r="AG92" s="4">
        <f aca="true" t="shared" si="83" ref="AG92:AG108">AC92/AD92*IF(H92="Y",raking,1)*IF(I92="Y",Pierce,1)*IF(J92="Y",Sustained,1)*IF(K92="Y",standard,1)*IF(L92="Y",Pulse,1)*IF(M92="Y",Flash,1)</f>
        <v>17.25</v>
      </c>
      <c r="AH92" s="4">
        <f aca="true" t="shared" si="84" ref="AH92:AH102">VLOOKUP(U92,FireControl,2)</f>
        <v>1.15</v>
      </c>
      <c r="AI92" s="4">
        <f aca="true" t="shared" si="85" ref="AI92:AI102">VLOOKUP(N92,Range,2,FALSE)</f>
        <v>0.65</v>
      </c>
      <c r="AJ92" s="4">
        <f aca="true" t="shared" si="86" ref="AJ92:AJ102">VLOOKUP(W92,Arc,2,FALSE)</f>
        <v>1.2</v>
      </c>
      <c r="AK92" s="4">
        <f aca="true" t="shared" si="87" ref="AK92:AK102">VLOOKUP(X92,Interceptable,2,FALSE)</f>
        <v>0.9</v>
      </c>
      <c r="AL92" s="4">
        <f aca="true" t="shared" si="88" ref="AL92:AL102">VLOOKUP(F92,Interceptability,2,FALSE)</f>
        <v>3</v>
      </c>
      <c r="AM92" s="5">
        <v>1</v>
      </c>
      <c r="AO92" s="4">
        <f aca="true" t="shared" si="89" ref="AO92:AO102">MAX(AG92*AH92*AI92*AJ92*AK92*AM92,AL92)+MIN(AG92*AH92*AI92*AJ92*AK92,AL92)/2</f>
        <v>15.425925000000001</v>
      </c>
    </row>
    <row r="93" spans="1:41" ht="12.75">
      <c r="A93" s="17" t="s">
        <v>302</v>
      </c>
      <c r="B93" s="12" t="s">
        <v>301</v>
      </c>
      <c r="C93" s="9">
        <f t="shared" si="74"/>
        <v>15.807272727272727</v>
      </c>
      <c r="D93" t="s">
        <v>31</v>
      </c>
      <c r="E93" s="3" t="s">
        <v>251</v>
      </c>
      <c r="F93" s="7">
        <v>-2</v>
      </c>
      <c r="G93" s="3" t="s">
        <v>125</v>
      </c>
      <c r="H93" s="3"/>
      <c r="I93" s="3"/>
      <c r="J93" s="3"/>
      <c r="K93" s="3"/>
      <c r="L93" s="3" t="s">
        <v>2</v>
      </c>
      <c r="M93" s="3"/>
      <c r="N93" s="10" t="str">
        <f t="shared" si="77"/>
        <v>2/1</v>
      </c>
      <c r="O93" s="10">
        <v>8</v>
      </c>
      <c r="P93" s="10">
        <v>-11</v>
      </c>
      <c r="Q93" s="10">
        <v>-33</v>
      </c>
      <c r="R93" s="10">
        <v>-70</v>
      </c>
      <c r="S93" s="9">
        <f t="shared" si="78"/>
        <v>-1</v>
      </c>
      <c r="T93" s="9">
        <f t="shared" si="79"/>
        <v>1</v>
      </c>
      <c r="U93" s="9">
        <f t="shared" si="80"/>
        <v>2</v>
      </c>
      <c r="V93" s="9">
        <f t="shared" si="75"/>
        <v>-19</v>
      </c>
      <c r="W93" s="7">
        <v>120</v>
      </c>
      <c r="X93" s="4" t="s">
        <v>2</v>
      </c>
      <c r="Y93" s="8"/>
      <c r="Z93" s="3" t="s">
        <v>300</v>
      </c>
      <c r="AB93" s="5">
        <v>6</v>
      </c>
      <c r="AC93" s="7">
        <f aca="true" t="shared" si="90" ref="AC93:AC99">AB93-2</f>
        <v>4</v>
      </c>
      <c r="AD93" s="6">
        <f t="shared" si="81"/>
        <v>0.33</v>
      </c>
      <c r="AE93" s="5">
        <v>1</v>
      </c>
      <c r="AF93" s="4">
        <f t="shared" si="82"/>
        <v>18.18181818181818</v>
      </c>
      <c r="AG93" s="4">
        <f t="shared" si="83"/>
        <v>13.939393939393938</v>
      </c>
      <c r="AH93" s="4">
        <f t="shared" si="84"/>
        <v>1.15</v>
      </c>
      <c r="AI93" s="4">
        <f t="shared" si="85"/>
        <v>0.65</v>
      </c>
      <c r="AJ93" s="4">
        <f t="shared" si="86"/>
        <v>1</v>
      </c>
      <c r="AK93" s="4">
        <f t="shared" si="87"/>
        <v>0.9</v>
      </c>
      <c r="AL93" s="4">
        <f t="shared" si="88"/>
        <v>2</v>
      </c>
      <c r="AM93" s="5">
        <v>1</v>
      </c>
      <c r="AO93" s="4">
        <f t="shared" si="89"/>
        <v>10.377727272727272</v>
      </c>
    </row>
    <row r="94" spans="1:41" ht="12.75">
      <c r="A94" s="17" t="s">
        <v>299</v>
      </c>
      <c r="B94" s="12" t="s">
        <v>298</v>
      </c>
      <c r="C94" s="9">
        <f t="shared" si="74"/>
        <v>1.7077500000000003</v>
      </c>
      <c r="D94" s="17" t="s">
        <v>4</v>
      </c>
      <c r="E94" s="3" t="s">
        <v>155</v>
      </c>
      <c r="F94" s="7">
        <v>-1</v>
      </c>
      <c r="G94" s="3" t="s">
        <v>3</v>
      </c>
      <c r="H94" s="3"/>
      <c r="I94" s="3"/>
      <c r="J94" s="3"/>
      <c r="K94" s="3" t="s">
        <v>2</v>
      </c>
      <c r="L94" s="3"/>
      <c r="M94" s="3"/>
      <c r="N94" s="10" t="str">
        <f t="shared" si="77"/>
        <v>1/1</v>
      </c>
      <c r="O94" s="10">
        <v>10</v>
      </c>
      <c r="P94" s="10">
        <v>-10</v>
      </c>
      <c r="Q94" s="10">
        <v>-33</v>
      </c>
      <c r="R94" s="10">
        <v>-71</v>
      </c>
      <c r="S94" s="9">
        <f t="shared" si="78"/>
        <v>0</v>
      </c>
      <c r="T94" s="9">
        <f t="shared" si="79"/>
        <v>3</v>
      </c>
      <c r="U94" s="9">
        <f t="shared" si="80"/>
        <v>6</v>
      </c>
      <c r="V94" s="9">
        <f t="shared" si="75"/>
        <v>-17</v>
      </c>
      <c r="W94" s="7">
        <v>120</v>
      </c>
      <c r="X94" s="4" t="s">
        <v>2</v>
      </c>
      <c r="Y94" s="8" t="s">
        <v>297</v>
      </c>
      <c r="Z94" s="24" t="s">
        <v>64</v>
      </c>
      <c r="AB94" s="5">
        <v>3.5</v>
      </c>
      <c r="AC94" s="7">
        <f t="shared" si="90"/>
        <v>1.5</v>
      </c>
      <c r="AD94" s="6">
        <f t="shared" si="81"/>
        <v>1</v>
      </c>
      <c r="AE94" s="5">
        <v>1</v>
      </c>
      <c r="AF94" s="4">
        <f t="shared" si="82"/>
        <v>3.5</v>
      </c>
      <c r="AG94" s="4">
        <f t="shared" si="83"/>
        <v>1.5</v>
      </c>
      <c r="AH94" s="4">
        <f t="shared" si="84"/>
        <v>1.5</v>
      </c>
      <c r="AI94" s="4">
        <f t="shared" si="85"/>
        <v>1</v>
      </c>
      <c r="AJ94" s="4">
        <f t="shared" si="86"/>
        <v>1</v>
      </c>
      <c r="AK94" s="4">
        <f t="shared" si="87"/>
        <v>0.9</v>
      </c>
      <c r="AL94" s="4">
        <f t="shared" si="88"/>
        <v>1</v>
      </c>
      <c r="AM94" s="5">
        <v>1</v>
      </c>
      <c r="AO94" s="4">
        <f t="shared" si="89"/>
        <v>2.525</v>
      </c>
    </row>
    <row r="95" spans="1:41" ht="12.75">
      <c r="A95" s="17" t="s">
        <v>293</v>
      </c>
      <c r="B95" s="12" t="s">
        <v>296</v>
      </c>
      <c r="C95" s="9">
        <f t="shared" si="74"/>
        <v>9.372857142857145</v>
      </c>
      <c r="D95" s="17" t="s">
        <v>4</v>
      </c>
      <c r="E95" s="3" t="s">
        <v>8</v>
      </c>
      <c r="F95" s="7">
        <v>-2</v>
      </c>
      <c r="G95" s="3" t="s">
        <v>146</v>
      </c>
      <c r="H95" s="3"/>
      <c r="I95" s="3"/>
      <c r="J95" s="3"/>
      <c r="K95" s="3" t="s">
        <v>2</v>
      </c>
      <c r="L95" s="3"/>
      <c r="M95" s="3"/>
      <c r="N95" s="10" t="str">
        <f t="shared" si="77"/>
        <v>2/3</v>
      </c>
      <c r="O95" s="10">
        <v>8</v>
      </c>
      <c r="P95" s="10">
        <v>-2</v>
      </c>
      <c r="Q95" s="10">
        <v>-17</v>
      </c>
      <c r="R95" s="10">
        <v>-40</v>
      </c>
      <c r="S95" s="9">
        <f t="shared" si="78"/>
        <v>0</v>
      </c>
      <c r="T95" s="9">
        <f t="shared" si="79"/>
        <v>2</v>
      </c>
      <c r="U95" s="9">
        <f t="shared" si="80"/>
        <v>3</v>
      </c>
      <c r="V95" s="9">
        <f t="shared" si="75"/>
        <v>-13</v>
      </c>
      <c r="W95" s="7">
        <v>120</v>
      </c>
      <c r="X95" s="4" t="s">
        <v>2</v>
      </c>
      <c r="Y95" s="8" t="s">
        <v>291</v>
      </c>
      <c r="Z95" s="24" t="s">
        <v>91</v>
      </c>
      <c r="AB95" s="5">
        <v>6.5</v>
      </c>
      <c r="AC95" s="7">
        <f t="shared" si="90"/>
        <v>4.5</v>
      </c>
      <c r="AD95" s="6">
        <f t="shared" si="81"/>
        <v>0.7</v>
      </c>
      <c r="AE95" s="5">
        <v>2</v>
      </c>
      <c r="AF95" s="4">
        <f t="shared" si="82"/>
        <v>4.642857142857143</v>
      </c>
      <c r="AG95" s="4">
        <f t="shared" si="83"/>
        <v>6.428571428571429</v>
      </c>
      <c r="AH95" s="4">
        <f t="shared" si="84"/>
        <v>1.23</v>
      </c>
      <c r="AI95" s="4">
        <f t="shared" si="85"/>
        <v>1.25</v>
      </c>
      <c r="AJ95" s="4">
        <f t="shared" si="86"/>
        <v>1</v>
      </c>
      <c r="AK95" s="4">
        <f t="shared" si="87"/>
        <v>0.9</v>
      </c>
      <c r="AL95" s="4">
        <f t="shared" si="88"/>
        <v>2</v>
      </c>
      <c r="AM95" s="5">
        <v>1</v>
      </c>
      <c r="AO95" s="4">
        <f t="shared" si="89"/>
        <v>9.895535714285714</v>
      </c>
    </row>
    <row r="96" spans="1:41" ht="12.75">
      <c r="A96" s="17" t="s">
        <v>293</v>
      </c>
      <c r="B96" s="12" t="s">
        <v>295</v>
      </c>
      <c r="C96" s="9">
        <f t="shared" si="74"/>
        <v>12.184714285714287</v>
      </c>
      <c r="D96" s="17" t="s">
        <v>4</v>
      </c>
      <c r="E96" s="3" t="s">
        <v>8</v>
      </c>
      <c r="F96" s="7">
        <v>-2</v>
      </c>
      <c r="G96" s="3" t="s">
        <v>146</v>
      </c>
      <c r="H96" s="3"/>
      <c r="I96" s="3"/>
      <c r="J96" s="3"/>
      <c r="K96" s="3" t="s">
        <v>2</v>
      </c>
      <c r="L96" s="3"/>
      <c r="M96" s="3"/>
      <c r="N96" s="10" t="str">
        <f t="shared" si="77"/>
        <v>2/3</v>
      </c>
      <c r="O96" s="10">
        <v>8</v>
      </c>
      <c r="P96" s="10">
        <v>-2</v>
      </c>
      <c r="Q96" s="10">
        <v>-17</v>
      </c>
      <c r="R96" s="10">
        <v>-40</v>
      </c>
      <c r="S96" s="9">
        <f t="shared" si="78"/>
        <v>0</v>
      </c>
      <c r="T96" s="9">
        <f t="shared" si="79"/>
        <v>2</v>
      </c>
      <c r="U96" s="9">
        <f t="shared" si="80"/>
        <v>3</v>
      </c>
      <c r="V96" s="9">
        <f t="shared" si="75"/>
        <v>-13</v>
      </c>
      <c r="W96" s="7">
        <v>360</v>
      </c>
      <c r="X96" s="4" t="s">
        <v>2</v>
      </c>
      <c r="Y96" s="8" t="s">
        <v>291</v>
      </c>
      <c r="Z96" s="24" t="s">
        <v>91</v>
      </c>
      <c r="AB96" s="5">
        <v>6.5</v>
      </c>
      <c r="AC96" s="7">
        <f t="shared" si="90"/>
        <v>4.5</v>
      </c>
      <c r="AD96" s="6">
        <f t="shared" si="81"/>
        <v>0.7</v>
      </c>
      <c r="AE96" s="5">
        <v>2</v>
      </c>
      <c r="AF96" s="4">
        <f t="shared" si="82"/>
        <v>4.642857142857143</v>
      </c>
      <c r="AG96" s="4">
        <f t="shared" si="83"/>
        <v>6.428571428571429</v>
      </c>
      <c r="AH96" s="4">
        <f t="shared" si="84"/>
        <v>1.23</v>
      </c>
      <c r="AI96" s="4">
        <f t="shared" si="85"/>
        <v>1.25</v>
      </c>
      <c r="AJ96" s="4">
        <f t="shared" si="86"/>
        <v>1.3</v>
      </c>
      <c r="AK96" s="4">
        <f t="shared" si="87"/>
        <v>0.9</v>
      </c>
      <c r="AL96" s="4">
        <f t="shared" si="88"/>
        <v>2</v>
      </c>
      <c r="AM96" s="5">
        <v>1</v>
      </c>
      <c r="AO96" s="4">
        <f t="shared" si="89"/>
        <v>12.56419642857143</v>
      </c>
    </row>
    <row r="97" spans="1:41" ht="12.75">
      <c r="A97" s="17" t="s">
        <v>293</v>
      </c>
      <c r="B97" s="12" t="s">
        <v>294</v>
      </c>
      <c r="C97" s="9">
        <f t="shared" si="74"/>
        <v>11.247428571428571</v>
      </c>
      <c r="D97" s="17" t="s">
        <v>4</v>
      </c>
      <c r="E97" s="3" t="s">
        <v>8</v>
      </c>
      <c r="F97" s="7">
        <v>-2</v>
      </c>
      <c r="G97" s="3" t="s">
        <v>146</v>
      </c>
      <c r="H97" s="3"/>
      <c r="I97" s="3"/>
      <c r="J97" s="3"/>
      <c r="K97" s="3" t="s">
        <v>2</v>
      </c>
      <c r="L97" s="3"/>
      <c r="M97" s="3"/>
      <c r="N97" s="10" t="str">
        <f t="shared" si="77"/>
        <v>2/3</v>
      </c>
      <c r="O97" s="10">
        <v>8</v>
      </c>
      <c r="P97" s="10">
        <v>-2</v>
      </c>
      <c r="Q97" s="10">
        <v>-17</v>
      </c>
      <c r="R97" s="10">
        <v>-40</v>
      </c>
      <c r="S97" s="9">
        <f t="shared" si="78"/>
        <v>0</v>
      </c>
      <c r="T97" s="9">
        <f t="shared" si="79"/>
        <v>2</v>
      </c>
      <c r="U97" s="9">
        <f t="shared" si="80"/>
        <v>3</v>
      </c>
      <c r="V97" s="9">
        <f t="shared" si="75"/>
        <v>-13</v>
      </c>
      <c r="W97" s="7">
        <v>240</v>
      </c>
      <c r="X97" s="4" t="s">
        <v>2</v>
      </c>
      <c r="Y97" s="8" t="s">
        <v>291</v>
      </c>
      <c r="Z97" s="24" t="s">
        <v>91</v>
      </c>
      <c r="AB97" s="5">
        <v>6.5</v>
      </c>
      <c r="AC97" s="7">
        <f t="shared" si="90"/>
        <v>4.5</v>
      </c>
      <c r="AD97" s="6">
        <f t="shared" si="81"/>
        <v>0.7</v>
      </c>
      <c r="AE97" s="5">
        <v>2</v>
      </c>
      <c r="AF97" s="4">
        <f t="shared" si="82"/>
        <v>4.642857142857143</v>
      </c>
      <c r="AG97" s="4">
        <f t="shared" si="83"/>
        <v>6.428571428571429</v>
      </c>
      <c r="AH97" s="4">
        <f t="shared" si="84"/>
        <v>1.23</v>
      </c>
      <c r="AI97" s="4">
        <f t="shared" si="85"/>
        <v>1.25</v>
      </c>
      <c r="AJ97" s="4">
        <f t="shared" si="86"/>
        <v>1.2</v>
      </c>
      <c r="AK97" s="4">
        <f t="shared" si="87"/>
        <v>0.9</v>
      </c>
      <c r="AL97" s="4">
        <f t="shared" si="88"/>
        <v>2</v>
      </c>
      <c r="AM97" s="5">
        <v>1</v>
      </c>
      <c r="AO97" s="4">
        <f t="shared" si="89"/>
        <v>11.674642857142857</v>
      </c>
    </row>
    <row r="98" spans="1:41" ht="12.75">
      <c r="A98" s="17" t="s">
        <v>293</v>
      </c>
      <c r="B98" s="12" t="s">
        <v>292</v>
      </c>
      <c r="C98" s="9">
        <f t="shared" si="74"/>
        <v>10.310142857142857</v>
      </c>
      <c r="D98" s="17" t="s">
        <v>4</v>
      </c>
      <c r="E98" s="3" t="s">
        <v>8</v>
      </c>
      <c r="F98" s="7">
        <v>-2</v>
      </c>
      <c r="G98" s="3" t="s">
        <v>146</v>
      </c>
      <c r="H98" s="3"/>
      <c r="I98" s="3"/>
      <c r="J98" s="3"/>
      <c r="K98" s="3" t="s">
        <v>2</v>
      </c>
      <c r="L98" s="3"/>
      <c r="M98" s="3"/>
      <c r="N98" s="10" t="str">
        <f t="shared" si="77"/>
        <v>2/3</v>
      </c>
      <c r="O98" s="10">
        <v>8</v>
      </c>
      <c r="P98" s="10">
        <v>-2</v>
      </c>
      <c r="Q98" s="10">
        <v>-17</v>
      </c>
      <c r="R98" s="10">
        <v>-40</v>
      </c>
      <c r="S98" s="9">
        <f t="shared" si="78"/>
        <v>0</v>
      </c>
      <c r="T98" s="9">
        <f t="shared" si="79"/>
        <v>2</v>
      </c>
      <c r="U98" s="9">
        <f t="shared" si="80"/>
        <v>3</v>
      </c>
      <c r="V98" s="9">
        <f t="shared" si="75"/>
        <v>-13</v>
      </c>
      <c r="W98" s="7">
        <v>180</v>
      </c>
      <c r="X98" s="4" t="s">
        <v>2</v>
      </c>
      <c r="Y98" s="8" t="s">
        <v>291</v>
      </c>
      <c r="Z98" s="24" t="s">
        <v>91</v>
      </c>
      <c r="AB98" s="5">
        <v>6.5</v>
      </c>
      <c r="AC98" s="7">
        <f t="shared" si="90"/>
        <v>4.5</v>
      </c>
      <c r="AD98" s="6">
        <f t="shared" si="81"/>
        <v>0.7</v>
      </c>
      <c r="AE98" s="5">
        <v>2</v>
      </c>
      <c r="AF98" s="4">
        <f t="shared" si="82"/>
        <v>4.642857142857143</v>
      </c>
      <c r="AG98" s="4">
        <f t="shared" si="83"/>
        <v>6.428571428571429</v>
      </c>
      <c r="AH98" s="4">
        <f t="shared" si="84"/>
        <v>1.23</v>
      </c>
      <c r="AI98" s="4">
        <f t="shared" si="85"/>
        <v>1.25</v>
      </c>
      <c r="AJ98" s="4">
        <f t="shared" si="86"/>
        <v>1.1</v>
      </c>
      <c r="AK98" s="4">
        <f t="shared" si="87"/>
        <v>0.9</v>
      </c>
      <c r="AL98" s="4">
        <f t="shared" si="88"/>
        <v>2</v>
      </c>
      <c r="AM98" s="5">
        <v>1</v>
      </c>
      <c r="AO98" s="4">
        <f t="shared" si="89"/>
        <v>10.785089285714285</v>
      </c>
    </row>
    <row r="99" spans="1:41" ht="12.75">
      <c r="A99" s="17" t="s">
        <v>290</v>
      </c>
      <c r="B99" s="12" t="s">
        <v>289</v>
      </c>
      <c r="C99" s="9">
        <f t="shared" si="74"/>
        <v>3.4020000000000006</v>
      </c>
      <c r="D99" s="17" t="s">
        <v>4</v>
      </c>
      <c r="E99" s="3" t="s">
        <v>155</v>
      </c>
      <c r="F99" s="7">
        <v>-2</v>
      </c>
      <c r="G99" s="3" t="s">
        <v>48</v>
      </c>
      <c r="H99" s="3"/>
      <c r="I99" s="3"/>
      <c r="J99" s="3"/>
      <c r="K99" s="3" t="s">
        <v>2</v>
      </c>
      <c r="L99" s="3"/>
      <c r="M99" s="3"/>
      <c r="N99" s="10" t="str">
        <f t="shared" si="77"/>
        <v>1/1</v>
      </c>
      <c r="O99" s="10">
        <v>6</v>
      </c>
      <c r="P99" s="10">
        <v>-11</v>
      </c>
      <c r="Q99" s="10">
        <v>-32</v>
      </c>
      <c r="R99" s="10">
        <v>-66</v>
      </c>
      <c r="S99" s="9">
        <f t="shared" si="78"/>
        <v>0</v>
      </c>
      <c r="T99" s="9">
        <f t="shared" si="79"/>
        <v>3</v>
      </c>
      <c r="U99" s="9">
        <f t="shared" si="80"/>
        <v>6</v>
      </c>
      <c r="V99" s="9">
        <f t="shared" si="75"/>
        <v>-19</v>
      </c>
      <c r="W99" s="7">
        <v>120</v>
      </c>
      <c r="X99" s="4" t="s">
        <v>2</v>
      </c>
      <c r="Y99" s="8" t="s">
        <v>288</v>
      </c>
      <c r="Z99" s="24" t="s">
        <v>58</v>
      </c>
      <c r="AB99" s="5">
        <v>3.5</v>
      </c>
      <c r="AC99" s="7">
        <f t="shared" si="90"/>
        <v>1.5</v>
      </c>
      <c r="AD99" s="6">
        <f t="shared" si="81"/>
        <v>0.5</v>
      </c>
      <c r="AE99" s="5">
        <v>3</v>
      </c>
      <c r="AF99" s="4">
        <f t="shared" si="82"/>
        <v>2.3333333333333335</v>
      </c>
      <c r="AG99" s="4">
        <f t="shared" si="83"/>
        <v>3</v>
      </c>
      <c r="AH99" s="4">
        <f t="shared" si="84"/>
        <v>1.5</v>
      </c>
      <c r="AI99" s="4">
        <f t="shared" si="85"/>
        <v>1</v>
      </c>
      <c r="AJ99" s="4">
        <f t="shared" si="86"/>
        <v>1</v>
      </c>
      <c r="AK99" s="4">
        <f t="shared" si="87"/>
        <v>0.9</v>
      </c>
      <c r="AL99" s="4">
        <f t="shared" si="88"/>
        <v>2</v>
      </c>
      <c r="AM99" s="5">
        <v>1</v>
      </c>
      <c r="AO99" s="4">
        <f t="shared" si="89"/>
        <v>5.05</v>
      </c>
    </row>
    <row r="100" spans="1:41" ht="12.75">
      <c r="A100" s="17" t="s">
        <v>285</v>
      </c>
      <c r="B100" s="12" t="s">
        <v>287</v>
      </c>
      <c r="C100" s="9">
        <f t="shared" si="74"/>
        <v>6.5205</v>
      </c>
      <c r="D100" s="17" t="s">
        <v>131</v>
      </c>
      <c r="E100" s="3" t="s">
        <v>155</v>
      </c>
      <c r="F100" s="7">
        <v>-2</v>
      </c>
      <c r="G100" s="3" t="s">
        <v>283</v>
      </c>
      <c r="H100" s="3"/>
      <c r="I100" s="3"/>
      <c r="J100" s="3"/>
      <c r="K100" s="3"/>
      <c r="L100" s="3" t="s">
        <v>2</v>
      </c>
      <c r="M100" s="3"/>
      <c r="N100" s="10" t="str">
        <f t="shared" si="77"/>
        <v>3/2</v>
      </c>
      <c r="O100" s="10">
        <v>9</v>
      </c>
      <c r="P100" s="10">
        <v>-12</v>
      </c>
      <c r="Q100" s="10">
        <v>-35</v>
      </c>
      <c r="R100" s="10">
        <v>-74</v>
      </c>
      <c r="S100" s="9">
        <f t="shared" si="78"/>
        <v>-1</v>
      </c>
      <c r="T100" s="9">
        <f t="shared" si="79"/>
        <v>2</v>
      </c>
      <c r="U100" s="9">
        <f t="shared" si="80"/>
        <v>5</v>
      </c>
      <c r="V100" s="9">
        <f t="shared" si="75"/>
        <v>-19</v>
      </c>
      <c r="W100" s="7">
        <v>120</v>
      </c>
      <c r="X100" s="4" t="s">
        <v>2</v>
      </c>
      <c r="Y100" s="8" t="s">
        <v>282</v>
      </c>
      <c r="Z100" s="27" t="s">
        <v>937</v>
      </c>
      <c r="AB100" s="5">
        <v>3</v>
      </c>
      <c r="AC100" s="7">
        <v>2</v>
      </c>
      <c r="AD100" s="6">
        <f t="shared" si="81"/>
        <v>0.4</v>
      </c>
      <c r="AE100" s="5">
        <v>2</v>
      </c>
      <c r="AF100" s="4">
        <f t="shared" si="82"/>
        <v>3.75</v>
      </c>
      <c r="AG100" s="4">
        <f t="shared" si="83"/>
        <v>5.75</v>
      </c>
      <c r="AH100" s="4">
        <f t="shared" si="84"/>
        <v>1.4</v>
      </c>
      <c r="AI100" s="4">
        <f t="shared" si="85"/>
        <v>0.8</v>
      </c>
      <c r="AJ100" s="4">
        <f t="shared" si="86"/>
        <v>1</v>
      </c>
      <c r="AK100" s="4">
        <f t="shared" si="87"/>
        <v>0.9</v>
      </c>
      <c r="AL100" s="4">
        <f t="shared" si="88"/>
        <v>2</v>
      </c>
      <c r="AM100" s="5">
        <v>1</v>
      </c>
      <c r="AO100" s="4">
        <f t="shared" si="89"/>
        <v>6.795999999999999</v>
      </c>
    </row>
    <row r="101" spans="1:41" ht="12.75">
      <c r="A101" s="17" t="s">
        <v>285</v>
      </c>
      <c r="B101" s="12" t="s">
        <v>286</v>
      </c>
      <c r="C101" s="9">
        <f t="shared" si="74"/>
        <v>7.17255</v>
      </c>
      <c r="D101" s="17" t="s">
        <v>131</v>
      </c>
      <c r="E101" s="3" t="s">
        <v>155</v>
      </c>
      <c r="F101" s="7">
        <v>-2</v>
      </c>
      <c r="G101" s="3" t="s">
        <v>283</v>
      </c>
      <c r="H101" s="3"/>
      <c r="I101" s="3"/>
      <c r="J101" s="3"/>
      <c r="K101" s="3"/>
      <c r="L101" s="3" t="s">
        <v>2</v>
      </c>
      <c r="M101" s="3"/>
      <c r="N101" s="10" t="str">
        <f t="shared" si="77"/>
        <v>3/2</v>
      </c>
      <c r="O101" s="10">
        <v>9</v>
      </c>
      <c r="P101" s="10">
        <v>-12</v>
      </c>
      <c r="Q101" s="10">
        <v>-35</v>
      </c>
      <c r="R101" s="10">
        <v>-74</v>
      </c>
      <c r="S101" s="9">
        <f t="shared" si="78"/>
        <v>-1</v>
      </c>
      <c r="T101" s="9">
        <f t="shared" si="79"/>
        <v>2</v>
      </c>
      <c r="U101" s="9">
        <f t="shared" si="80"/>
        <v>5</v>
      </c>
      <c r="V101" s="9">
        <f t="shared" si="75"/>
        <v>-19</v>
      </c>
      <c r="W101" s="7">
        <v>180</v>
      </c>
      <c r="X101" s="4" t="s">
        <v>2</v>
      </c>
      <c r="Y101" s="8" t="s">
        <v>282</v>
      </c>
      <c r="Z101" s="27" t="s">
        <v>937</v>
      </c>
      <c r="AB101" s="5">
        <v>3</v>
      </c>
      <c r="AC101" s="7">
        <v>2</v>
      </c>
      <c r="AD101" s="6">
        <f t="shared" si="81"/>
        <v>0.4</v>
      </c>
      <c r="AE101" s="5">
        <v>2</v>
      </c>
      <c r="AF101" s="4">
        <f t="shared" si="82"/>
        <v>3.75</v>
      </c>
      <c r="AG101" s="4">
        <f t="shared" si="83"/>
        <v>5.75</v>
      </c>
      <c r="AH101" s="4">
        <f t="shared" si="84"/>
        <v>1.4</v>
      </c>
      <c r="AI101" s="4">
        <f t="shared" si="85"/>
        <v>0.8</v>
      </c>
      <c r="AJ101" s="4">
        <f t="shared" si="86"/>
        <v>1.1</v>
      </c>
      <c r="AK101" s="4">
        <f t="shared" si="87"/>
        <v>0.9</v>
      </c>
      <c r="AL101" s="4">
        <f t="shared" si="88"/>
        <v>2</v>
      </c>
      <c r="AM101" s="5">
        <v>1</v>
      </c>
      <c r="AO101" s="4">
        <f t="shared" si="89"/>
        <v>7.3755999999999995</v>
      </c>
    </row>
    <row r="102" spans="1:41" ht="12.75">
      <c r="A102" s="17" t="s">
        <v>285</v>
      </c>
      <c r="B102" s="12" t="s">
        <v>284</v>
      </c>
      <c r="C102" s="9">
        <f t="shared" si="74"/>
        <v>7.8246</v>
      </c>
      <c r="D102" s="17" t="s">
        <v>131</v>
      </c>
      <c r="E102" s="3" t="s">
        <v>155</v>
      </c>
      <c r="F102" s="7">
        <v>-2</v>
      </c>
      <c r="G102" s="3" t="s">
        <v>283</v>
      </c>
      <c r="H102" s="3"/>
      <c r="I102" s="3"/>
      <c r="J102" s="3"/>
      <c r="K102" s="3"/>
      <c r="L102" s="3" t="s">
        <v>2</v>
      </c>
      <c r="M102" s="3"/>
      <c r="N102" s="10" t="str">
        <f t="shared" si="77"/>
        <v>3/2</v>
      </c>
      <c r="O102" s="10">
        <v>9</v>
      </c>
      <c r="P102" s="10">
        <v>-12</v>
      </c>
      <c r="Q102" s="10">
        <v>-35</v>
      </c>
      <c r="R102" s="10">
        <v>-74</v>
      </c>
      <c r="S102" s="9">
        <f t="shared" si="78"/>
        <v>-1</v>
      </c>
      <c r="T102" s="9">
        <f t="shared" si="79"/>
        <v>2</v>
      </c>
      <c r="U102" s="9">
        <f t="shared" si="80"/>
        <v>5</v>
      </c>
      <c r="V102" s="9">
        <f t="shared" si="75"/>
        <v>-19</v>
      </c>
      <c r="W102" s="7">
        <v>240</v>
      </c>
      <c r="X102" s="4" t="s">
        <v>2</v>
      </c>
      <c r="Y102" s="8" t="s">
        <v>282</v>
      </c>
      <c r="Z102" s="27" t="s">
        <v>937</v>
      </c>
      <c r="AB102" s="5">
        <v>3</v>
      </c>
      <c r="AC102" s="7">
        <v>2</v>
      </c>
      <c r="AD102" s="6">
        <f t="shared" si="81"/>
        <v>0.4</v>
      </c>
      <c r="AE102" s="5">
        <v>2</v>
      </c>
      <c r="AF102" s="4">
        <f t="shared" si="82"/>
        <v>3.75</v>
      </c>
      <c r="AG102" s="4">
        <f t="shared" si="83"/>
        <v>5.75</v>
      </c>
      <c r="AH102" s="4">
        <f t="shared" si="84"/>
        <v>1.4</v>
      </c>
      <c r="AI102" s="4">
        <f t="shared" si="85"/>
        <v>0.8</v>
      </c>
      <c r="AJ102" s="4">
        <f t="shared" si="86"/>
        <v>1.2</v>
      </c>
      <c r="AK102" s="4">
        <f t="shared" si="87"/>
        <v>0.9</v>
      </c>
      <c r="AL102" s="4">
        <f t="shared" si="88"/>
        <v>2</v>
      </c>
      <c r="AM102" s="5">
        <v>1</v>
      </c>
      <c r="AO102" s="4">
        <f t="shared" si="89"/>
        <v>7.955199999999999</v>
      </c>
    </row>
    <row r="103" spans="1:41" ht="12.75">
      <c r="A103" s="23" t="s">
        <v>281</v>
      </c>
      <c r="B103" s="12"/>
      <c r="C103" s="9"/>
      <c r="D103" s="17"/>
      <c r="E103" s="3"/>
      <c r="F103" s="7"/>
      <c r="G103" s="3"/>
      <c r="H103" s="3"/>
      <c r="I103" s="3"/>
      <c r="J103" s="3"/>
      <c r="K103" s="3"/>
      <c r="L103" s="3"/>
      <c r="M103" s="3"/>
      <c r="N103" s="10"/>
      <c r="O103" s="10"/>
      <c r="P103" s="10"/>
      <c r="Q103" s="10"/>
      <c r="R103" s="10"/>
      <c r="S103" s="9"/>
      <c r="T103" s="9"/>
      <c r="U103" s="9"/>
      <c r="V103" s="9">
        <f t="shared" si="75"/>
        <v>0</v>
      </c>
      <c r="W103" s="7"/>
      <c r="X103" s="4"/>
      <c r="Y103" s="8"/>
      <c r="Z103" s="5"/>
      <c r="AB103" s="5"/>
      <c r="AC103" s="7"/>
      <c r="AD103" s="6"/>
      <c r="AE103" s="5"/>
      <c r="AF103" s="4"/>
      <c r="AG103" s="4" t="e">
        <f t="shared" si="83"/>
        <v>#DIV/0!</v>
      </c>
      <c r="AH103" s="4"/>
      <c r="AI103" s="4"/>
      <c r="AJ103" s="7"/>
      <c r="AK103" s="4"/>
      <c r="AL103" s="4"/>
      <c r="AO103" s="4"/>
    </row>
    <row r="104" spans="1:41" ht="12.75">
      <c r="A104" s="23" t="s">
        <v>280</v>
      </c>
      <c r="B104" s="12"/>
      <c r="C104" s="9"/>
      <c r="D104" s="17"/>
      <c r="E104" s="3"/>
      <c r="F104" s="7"/>
      <c r="G104" s="3"/>
      <c r="H104" s="3"/>
      <c r="I104" s="3"/>
      <c r="J104" s="3"/>
      <c r="K104" s="3"/>
      <c r="L104" s="3"/>
      <c r="M104" s="3"/>
      <c r="N104" s="10"/>
      <c r="O104" s="10"/>
      <c r="P104" s="10"/>
      <c r="Q104" s="10"/>
      <c r="R104" s="10"/>
      <c r="S104" s="9"/>
      <c r="T104" s="9"/>
      <c r="U104" s="9"/>
      <c r="V104" s="9">
        <f t="shared" si="75"/>
        <v>0</v>
      </c>
      <c r="W104" s="7"/>
      <c r="X104" s="4"/>
      <c r="Y104" s="8"/>
      <c r="Z104" s="5"/>
      <c r="AB104" s="5"/>
      <c r="AC104" s="7"/>
      <c r="AD104" s="6"/>
      <c r="AE104" s="5"/>
      <c r="AF104" s="4"/>
      <c r="AG104" s="4" t="e">
        <f t="shared" si="83"/>
        <v>#DIV/0!</v>
      </c>
      <c r="AH104" s="4"/>
      <c r="AI104" s="4"/>
      <c r="AJ104" s="7"/>
      <c r="AK104" s="4"/>
      <c r="AL104" s="4"/>
      <c r="AO104" s="4"/>
    </row>
    <row r="105" spans="1:41" ht="12.75">
      <c r="A105" s="17" t="s">
        <v>279</v>
      </c>
      <c r="B105" s="12" t="s">
        <v>278</v>
      </c>
      <c r="C105" s="9">
        <f>AG105*AJ105*AK105*(1+AL105/10)*AM105*(2+V105/20)</f>
        <v>4.851</v>
      </c>
      <c r="D105" s="17" t="s">
        <v>131</v>
      </c>
      <c r="E105" s="3" t="s">
        <v>155</v>
      </c>
      <c r="F105" s="7">
        <v>-2</v>
      </c>
      <c r="G105" s="3" t="s">
        <v>3</v>
      </c>
      <c r="H105" s="3"/>
      <c r="I105" s="3"/>
      <c r="J105" s="3"/>
      <c r="K105" s="3" t="s">
        <v>2</v>
      </c>
      <c r="L105" s="3"/>
      <c r="M105" s="3"/>
      <c r="N105" s="10" t="str">
        <f>VLOOKUP(D105,Weapon_range,(VLOOKUP(E105,weapon_size_col,2,FALSE)),FALSE)</f>
        <v>3/2</v>
      </c>
      <c r="O105" s="10">
        <v>9</v>
      </c>
      <c r="P105" s="10">
        <v>-12</v>
      </c>
      <c r="Q105" s="10">
        <v>-35</v>
      </c>
      <c r="R105" s="10">
        <v>-74</v>
      </c>
      <c r="S105" s="9">
        <f>VLOOKUP($D105,Weapon_mode,2,FALSE)+VLOOKUP($E105,Weapon_size,2,FALSE)</f>
        <v>-1</v>
      </c>
      <c r="T105" s="9">
        <f>VLOOKUP($D105,Weapon_mode,3,FALSE)++VLOOKUP($E105,Weapon_size,3,FALSE)</f>
        <v>2</v>
      </c>
      <c r="U105" s="9">
        <f>VLOOKUP($D105,Weapon_mode,4,FALSE)+VLOOKUP($E105,Weapon_size,4,FALSE)</f>
        <v>5</v>
      </c>
      <c r="V105" s="9">
        <f t="shared" si="75"/>
        <v>-19</v>
      </c>
      <c r="W105" s="7">
        <v>120</v>
      </c>
      <c r="X105" s="4" t="s">
        <v>21</v>
      </c>
      <c r="Y105" s="8" t="s">
        <v>133</v>
      </c>
      <c r="Z105" s="3" t="s">
        <v>78</v>
      </c>
      <c r="AA105" t="s">
        <v>132</v>
      </c>
      <c r="AB105" s="5">
        <v>5.5</v>
      </c>
      <c r="AC105" s="7">
        <f>AB105-2</f>
        <v>3.5</v>
      </c>
      <c r="AD105" s="6">
        <f>VLOOKUP(G105,RoF,2,FALSE)</f>
        <v>1</v>
      </c>
      <c r="AE105" s="5">
        <v>12</v>
      </c>
      <c r="AF105" s="4">
        <f>AB105/(AD105*AE105)</f>
        <v>0.4583333333333333</v>
      </c>
      <c r="AG105" s="4">
        <f t="shared" si="83"/>
        <v>3.5</v>
      </c>
      <c r="AH105" s="4">
        <f>VLOOKUP(S105,FireControl,2)</f>
        <v>0.93</v>
      </c>
      <c r="AI105" s="4">
        <f>VLOOKUP(N105,Range,2,FALSE)</f>
        <v>0.8</v>
      </c>
      <c r="AJ105" s="4">
        <f>VLOOKUP(W105,Arc,2,FALSE)</f>
        <v>1</v>
      </c>
      <c r="AK105" s="4">
        <f>VLOOKUP(X105,Interceptable,2,FALSE)</f>
        <v>1.1</v>
      </c>
      <c r="AL105" s="4">
        <f>VLOOKUP(F105,Interceptability,2,FALSE)</f>
        <v>2</v>
      </c>
      <c r="AM105" s="5">
        <v>1</v>
      </c>
      <c r="AO105" s="4">
        <f>MAX(AG105*AH105*AI105*AJ105*AK105*AM105,AL105)+MIN(AG105*AH105*AI105*AJ105*AK105,AL105)/2</f>
        <v>3.8644000000000007</v>
      </c>
    </row>
    <row r="106" spans="1:41" ht="12.75">
      <c r="A106" s="8" t="s">
        <v>964</v>
      </c>
      <c r="B106" s="12" t="s">
        <v>965</v>
      </c>
      <c r="C106" s="9">
        <f>AG106*AJ106*AK106*(1+AL106/10)*AM106*(2+V106/20)</f>
        <v>7.681079999999999</v>
      </c>
      <c r="D106" s="17" t="s">
        <v>186</v>
      </c>
      <c r="E106" s="3" t="s">
        <v>251</v>
      </c>
      <c r="F106" s="7">
        <v>-2</v>
      </c>
      <c r="G106" s="3" t="s">
        <v>48</v>
      </c>
      <c r="H106" s="3"/>
      <c r="I106" s="3"/>
      <c r="J106" s="3"/>
      <c r="K106" s="3"/>
      <c r="L106" s="3" t="s">
        <v>2</v>
      </c>
      <c r="M106" s="3"/>
      <c r="N106" s="10" t="str">
        <f>VLOOKUP(D106,Weapon_range,(VLOOKUP(E106,weapon_size_col,2,FALSE)),FALSE)</f>
        <v>1/4</v>
      </c>
      <c r="O106" s="10">
        <v>8</v>
      </c>
      <c r="P106" s="10">
        <v>-8</v>
      </c>
      <c r="Q106" s="10">
        <v>-28</v>
      </c>
      <c r="R106" s="10">
        <v>-60</v>
      </c>
      <c r="S106" s="9">
        <f>VLOOKUP($D106,Weapon_mode,2,FALSE)+VLOOKUP($E106,Weapon_size,2,FALSE)</f>
        <v>0</v>
      </c>
      <c r="T106" s="9">
        <f>VLOOKUP($D106,Weapon_mode,3,FALSE)++VLOOKUP($E106,Weapon_size,3,FALSE)</f>
        <v>4</v>
      </c>
      <c r="U106" s="9">
        <f>VLOOKUP($D106,Weapon_mode,4,FALSE)+VLOOKUP($E106,Weapon_size,4,FALSE)</f>
        <v>7</v>
      </c>
      <c r="V106" s="9">
        <f t="shared" si="75"/>
        <v>-17</v>
      </c>
      <c r="W106" s="7">
        <v>180</v>
      </c>
      <c r="X106" s="4" t="s">
        <v>21</v>
      </c>
      <c r="Y106" s="8" t="s">
        <v>124</v>
      </c>
      <c r="Z106" s="3" t="s">
        <v>971</v>
      </c>
      <c r="AA106" s="26"/>
      <c r="AB106" s="5">
        <v>2</v>
      </c>
      <c r="AC106" s="7">
        <v>2</v>
      </c>
      <c r="AD106" s="6">
        <f>VLOOKUP(G106,RoF,2,FALSE)</f>
        <v>0.5</v>
      </c>
      <c r="AE106" s="5">
        <v>2</v>
      </c>
      <c r="AF106" s="4">
        <f>AB106/(AD106*AE106)</f>
        <v>2</v>
      </c>
      <c r="AG106" s="4">
        <f>AC106/AD106*IF(H106="Y",raking,1)*IF(I106="Y",Pierce,1)*IF(J106="Y",Sustained,1)*IF(K106="Y",standard,1)*IF(L106="Y",Pulse,1)*IF(M106="Y",Flash,1)</f>
        <v>4.6</v>
      </c>
      <c r="AH106" s="4">
        <f>VLOOKUP((S106+T106+U106)/3,FireControl,2)</f>
        <v>1.23</v>
      </c>
      <c r="AI106" s="4">
        <f>VLOOKUP(N106,Range,2,FALSE)</f>
        <v>1.55</v>
      </c>
      <c r="AJ106" s="4">
        <f>VLOOKUP(W106,Arc,2,FALSE)</f>
        <v>1.1</v>
      </c>
      <c r="AK106" s="4">
        <f>VLOOKUP(X106,Interceptable,2,FALSE)</f>
        <v>1.1</v>
      </c>
      <c r="AL106" s="4">
        <f>VLOOKUP(F106,Interceptability,2,FALSE)</f>
        <v>2</v>
      </c>
      <c r="AM106" s="5">
        <v>1</v>
      </c>
      <c r="AO106" s="4">
        <f>MAX(AG106*AH106*AI106*AJ106*AK106*AM106,AL106)+MIN(AG106*AH106*AI106*AJ106*AK106,AL106)/2</f>
        <v>11.611579000000003</v>
      </c>
    </row>
    <row r="107" spans="1:41" ht="12.75">
      <c r="A107" s="23"/>
      <c r="B107" s="12"/>
      <c r="C107" s="9"/>
      <c r="D107" s="17"/>
      <c r="E107" s="3"/>
      <c r="F107" s="7"/>
      <c r="G107" s="3"/>
      <c r="H107" s="3"/>
      <c r="I107" s="3"/>
      <c r="J107" s="3"/>
      <c r="K107" s="3"/>
      <c r="L107" s="3"/>
      <c r="M107" s="3"/>
      <c r="N107" s="10"/>
      <c r="O107" s="10"/>
      <c r="P107" s="10"/>
      <c r="Q107" s="10"/>
      <c r="R107" s="10"/>
      <c r="S107" s="9"/>
      <c r="T107" s="9"/>
      <c r="U107" s="9"/>
      <c r="V107" s="9">
        <f t="shared" si="75"/>
        <v>0</v>
      </c>
      <c r="W107" s="7"/>
      <c r="X107" s="4"/>
      <c r="Y107" s="8"/>
      <c r="Z107" s="5"/>
      <c r="AB107" s="5"/>
      <c r="AC107" s="7"/>
      <c r="AD107" s="6"/>
      <c r="AE107" s="5"/>
      <c r="AF107" s="4"/>
      <c r="AG107" s="4" t="e">
        <f t="shared" si="83"/>
        <v>#DIV/0!</v>
      </c>
      <c r="AH107" s="4"/>
      <c r="AI107" s="4"/>
      <c r="AJ107" s="7"/>
      <c r="AK107" s="4"/>
      <c r="AL107" s="4"/>
      <c r="AO107" s="4"/>
    </row>
    <row r="108" spans="1:41" ht="12.75">
      <c r="A108" s="17"/>
      <c r="B108" s="12"/>
      <c r="C108" s="9"/>
      <c r="D108" s="17"/>
      <c r="E108" s="3"/>
      <c r="F108" s="7"/>
      <c r="G108" s="3"/>
      <c r="H108" s="3"/>
      <c r="I108" s="3"/>
      <c r="J108" s="3"/>
      <c r="K108" s="3"/>
      <c r="L108" s="3"/>
      <c r="M108" s="3"/>
      <c r="N108" s="10"/>
      <c r="O108" s="10"/>
      <c r="P108" s="10"/>
      <c r="Q108" s="10"/>
      <c r="R108" s="10"/>
      <c r="S108" s="9"/>
      <c r="T108" s="9"/>
      <c r="U108" s="9"/>
      <c r="V108" s="9">
        <f t="shared" si="75"/>
        <v>0</v>
      </c>
      <c r="W108" s="7"/>
      <c r="X108" s="4"/>
      <c r="Y108" s="8"/>
      <c r="Z108" s="5"/>
      <c r="AB108" s="5"/>
      <c r="AC108" s="7"/>
      <c r="AD108" s="6"/>
      <c r="AE108" s="5"/>
      <c r="AF108" s="4"/>
      <c r="AG108" s="4" t="e">
        <f t="shared" si="83"/>
        <v>#DIV/0!</v>
      </c>
      <c r="AH108" s="4"/>
      <c r="AI108" s="4"/>
      <c r="AJ108" s="7"/>
      <c r="AK108" s="4"/>
      <c r="AL108" s="4"/>
      <c r="AO108" s="4"/>
    </row>
    <row r="109" spans="1:41" ht="12.75">
      <c r="A109" s="21" t="s">
        <v>242</v>
      </c>
      <c r="B109" s="12"/>
      <c r="C109" s="9"/>
      <c r="E109" s="3"/>
      <c r="F109" s="7"/>
      <c r="G109" s="5"/>
      <c r="H109" s="5"/>
      <c r="I109" s="5"/>
      <c r="J109" s="5"/>
      <c r="K109" s="5"/>
      <c r="L109" s="5"/>
      <c r="M109" s="5"/>
      <c r="N109" s="10"/>
      <c r="O109" s="10"/>
      <c r="P109" s="10"/>
      <c r="Q109" s="10"/>
      <c r="R109" s="10"/>
      <c r="S109" s="9"/>
      <c r="T109" s="9"/>
      <c r="U109" s="9"/>
      <c r="V109" s="9">
        <f t="shared" si="75"/>
        <v>0</v>
      </c>
      <c r="W109" s="7"/>
      <c r="X109" s="4"/>
      <c r="Y109" s="14"/>
      <c r="Z109" s="5"/>
      <c r="AB109" s="5"/>
      <c r="AC109" s="7"/>
      <c r="AD109" s="6"/>
      <c r="AE109" s="5"/>
      <c r="AF109" s="4"/>
      <c r="AG109" s="4" t="e">
        <f aca="true" t="shared" si="91" ref="AG109:AG137">AC109/AD109*IF(H109="Y",raking,1)*IF(I109="Y",Pierce,1)*IF(J109="Y",Sustained,1)*IF(K109="Y",standard,1)*IF(L109="Y",Pulse,1)*IF(M109="Y",Flash,1)</f>
        <v>#DIV/0!</v>
      </c>
      <c r="AH109" s="4"/>
      <c r="AI109" s="4"/>
      <c r="AJ109" s="7"/>
      <c r="AK109" s="4"/>
      <c r="AL109" s="4"/>
      <c r="AO109" s="4"/>
    </row>
    <row r="110" spans="1:41" ht="12.75">
      <c r="A110" s="17" t="s">
        <v>240</v>
      </c>
      <c r="B110" s="12" t="s">
        <v>241</v>
      </c>
      <c r="C110" s="9">
        <f aca="true" t="shared" si="92" ref="C110:C174">AG110*AJ110*AK110*(1+AL110/10)*AM110*(2+V110/20)</f>
        <v>5.06</v>
      </c>
      <c r="D110" s="17" t="s">
        <v>232</v>
      </c>
      <c r="E110" s="3" t="s">
        <v>155</v>
      </c>
      <c r="F110" s="7">
        <v>0</v>
      </c>
      <c r="G110" s="3" t="s">
        <v>3</v>
      </c>
      <c r="H110" s="3"/>
      <c r="I110" s="3"/>
      <c r="J110" s="3"/>
      <c r="K110" s="3" t="s">
        <v>2</v>
      </c>
      <c r="L110" s="3"/>
      <c r="M110" s="3"/>
      <c r="N110" s="10" t="str">
        <f>VLOOKUP(D110,Weapon_range,(VLOOKUP(E110,weapon_size_col,2,FALSE)),FALSE)</f>
        <v>1/4</v>
      </c>
      <c r="O110" s="10">
        <v>10</v>
      </c>
      <c r="P110" s="10">
        <v>-9</v>
      </c>
      <c r="Q110" s="10">
        <v>-30</v>
      </c>
      <c r="R110" s="10">
        <v>-65</v>
      </c>
      <c r="S110" s="9">
        <f>VLOOKUP($D110,Weapon_mode,2,FALSE)+VLOOKUP($E110,Weapon_size,2,FALSE)</f>
        <v>0</v>
      </c>
      <c r="T110" s="9">
        <f>VLOOKUP($D110,Weapon_mode,3,FALSE)++VLOOKUP($E110,Weapon_size,3,FALSE)</f>
        <v>4</v>
      </c>
      <c r="U110" s="9">
        <f>VLOOKUP($D110,Weapon_mode,4,FALSE)+VLOOKUP($E110,Weapon_size,4,FALSE)</f>
        <v>8</v>
      </c>
      <c r="V110" s="9">
        <f t="shared" si="75"/>
        <v>-17</v>
      </c>
      <c r="W110" s="7">
        <v>120</v>
      </c>
      <c r="X110" s="4" t="s">
        <v>21</v>
      </c>
      <c r="Y110" s="8" t="s">
        <v>235</v>
      </c>
      <c r="Z110" s="3" t="str">
        <f>Y110</f>
        <v>dropout/power</v>
      </c>
      <c r="AB110" s="5"/>
      <c r="AC110" s="7">
        <v>4</v>
      </c>
      <c r="AD110" s="6">
        <f>VLOOKUP(G110,RoF,2,FALSE)</f>
        <v>1</v>
      </c>
      <c r="AE110" s="5">
        <v>3</v>
      </c>
      <c r="AF110" s="4"/>
      <c r="AG110" s="4">
        <f t="shared" si="91"/>
        <v>4</v>
      </c>
      <c r="AH110" s="4">
        <f>VLOOKUP(S110,FireControl,2)</f>
        <v>1</v>
      </c>
      <c r="AI110" s="4">
        <f>VLOOKUP(N110,Range,2,FALSE)</f>
        <v>1.55</v>
      </c>
      <c r="AJ110" s="4">
        <f>VLOOKUP(W110,Arc,2,FALSE)</f>
        <v>1</v>
      </c>
      <c r="AK110" s="4">
        <f>VLOOKUP(X110,Interceptable,2,FALSE)</f>
        <v>1.1</v>
      </c>
      <c r="AL110" s="4">
        <f>VLOOKUP(F110,Interceptability,2,FALSE)</f>
        <v>0</v>
      </c>
      <c r="AM110" s="5">
        <v>1</v>
      </c>
      <c r="AO110" s="4">
        <f>MAX(AG110*AH110*AI110*AJ110*AK110*AM110,AL110)+MIN(AG110*AH110*AI110*AJ110*AK110,AL110)/2</f>
        <v>6.820000000000001</v>
      </c>
    </row>
    <row r="111" spans="1:41" ht="12.75">
      <c r="A111" s="17" t="s">
        <v>240</v>
      </c>
      <c r="B111" s="12" t="s">
        <v>239</v>
      </c>
      <c r="C111" s="9">
        <f t="shared" si="92"/>
        <v>5.566000000000001</v>
      </c>
      <c r="D111" s="17" t="s">
        <v>232</v>
      </c>
      <c r="E111" s="3" t="s">
        <v>155</v>
      </c>
      <c r="F111" s="7">
        <v>0</v>
      </c>
      <c r="G111" s="3" t="s">
        <v>3</v>
      </c>
      <c r="H111" s="3"/>
      <c r="I111" s="3"/>
      <c r="J111" s="3"/>
      <c r="K111" s="3" t="s">
        <v>2</v>
      </c>
      <c r="L111" s="3"/>
      <c r="M111" s="3"/>
      <c r="N111" s="10" t="str">
        <f>VLOOKUP(D111,Weapon_range,(VLOOKUP(E111,weapon_size_col,2,FALSE)),FALSE)</f>
        <v>1/4</v>
      </c>
      <c r="O111" s="10">
        <v>10</v>
      </c>
      <c r="P111" s="10">
        <v>-9</v>
      </c>
      <c r="Q111" s="10">
        <v>-30</v>
      </c>
      <c r="R111" s="10">
        <v>-65</v>
      </c>
      <c r="S111" s="9">
        <f>VLOOKUP($D111,Weapon_mode,2,FALSE)+VLOOKUP($E111,Weapon_size,2,FALSE)</f>
        <v>0</v>
      </c>
      <c r="T111" s="9">
        <f>VLOOKUP($D111,Weapon_mode,3,FALSE)++VLOOKUP($E111,Weapon_size,3,FALSE)</f>
        <v>4</v>
      </c>
      <c r="U111" s="9">
        <f>VLOOKUP($D111,Weapon_mode,4,FALSE)+VLOOKUP($E111,Weapon_size,4,FALSE)</f>
        <v>8</v>
      </c>
      <c r="V111" s="9">
        <f t="shared" si="75"/>
        <v>-17</v>
      </c>
      <c r="W111" s="7">
        <v>180</v>
      </c>
      <c r="X111" s="4" t="s">
        <v>21</v>
      </c>
      <c r="Y111" s="8" t="s">
        <v>235</v>
      </c>
      <c r="Z111" s="3" t="str">
        <f>Y111</f>
        <v>dropout/power</v>
      </c>
      <c r="AB111" s="5"/>
      <c r="AC111" s="7">
        <v>4</v>
      </c>
      <c r="AD111" s="6">
        <f>VLOOKUP(G111,RoF,2,FALSE)</f>
        <v>1</v>
      </c>
      <c r="AE111" s="5">
        <v>3</v>
      </c>
      <c r="AF111" s="4"/>
      <c r="AG111" s="4">
        <f t="shared" si="91"/>
        <v>4</v>
      </c>
      <c r="AH111" s="4">
        <f>VLOOKUP(S111,FireControl,2)</f>
        <v>1</v>
      </c>
      <c r="AI111" s="4">
        <f>VLOOKUP(N111,Range,2,FALSE)</f>
        <v>1.55</v>
      </c>
      <c r="AJ111" s="4">
        <f>VLOOKUP(W111,Arc,2,FALSE)</f>
        <v>1.1</v>
      </c>
      <c r="AK111" s="4">
        <f>VLOOKUP(X111,Interceptable,2,FALSE)</f>
        <v>1.1</v>
      </c>
      <c r="AL111" s="4">
        <f>VLOOKUP(F111,Interceptability,2,FALSE)</f>
        <v>0</v>
      </c>
      <c r="AM111" s="5">
        <v>1</v>
      </c>
      <c r="AO111" s="4">
        <f>MAX(AG111*AH111*AI111*AJ111*AK111*AM111,AL111)+MIN(AG111*AH111*AI111*AJ111*AK111,AL111)/2</f>
        <v>7.502000000000002</v>
      </c>
    </row>
    <row r="112" spans="1:41" ht="12.75">
      <c r="A112" s="17" t="s">
        <v>237</v>
      </c>
      <c r="B112" s="12" t="s">
        <v>236</v>
      </c>
      <c r="C112" s="9">
        <f t="shared" si="92"/>
        <v>4.714285714285715</v>
      </c>
      <c r="D112" s="17" t="s">
        <v>232</v>
      </c>
      <c r="E112" s="3" t="s">
        <v>8</v>
      </c>
      <c r="F112" s="7">
        <v>0</v>
      </c>
      <c r="G112" s="3" t="s">
        <v>11</v>
      </c>
      <c r="H112" s="3"/>
      <c r="I112" s="3"/>
      <c r="J112" s="3"/>
      <c r="K112" s="3" t="s">
        <v>2</v>
      </c>
      <c r="L112" s="3"/>
      <c r="M112" s="3"/>
      <c r="N112" s="10" t="str">
        <f>VLOOKUP(D112,Weapon_range,(VLOOKUP(E112,weapon_size_col,2,FALSE)),FALSE)</f>
        <v>1/4</v>
      </c>
      <c r="O112" s="10">
        <v>8</v>
      </c>
      <c r="P112" s="10">
        <v>0</v>
      </c>
      <c r="Q112" s="10">
        <v>-14</v>
      </c>
      <c r="R112" s="10">
        <v>-34</v>
      </c>
      <c r="S112" s="9">
        <f>VLOOKUP($D112,Weapon_mode,2,FALSE)+VLOOKUP($E112,Weapon_size,2,FALSE)</f>
        <v>0</v>
      </c>
      <c r="T112" s="9">
        <f>VLOOKUP($D112,Weapon_mode,3,FALSE)++VLOOKUP($E112,Weapon_size,3,FALSE)</f>
        <v>3</v>
      </c>
      <c r="U112" s="9">
        <f>VLOOKUP($D112,Weapon_mode,4,FALSE)+VLOOKUP($E112,Weapon_size,4,FALSE)</f>
        <v>5</v>
      </c>
      <c r="V112" s="9">
        <f t="shared" si="75"/>
        <v>-10</v>
      </c>
      <c r="W112" s="7">
        <v>120</v>
      </c>
      <c r="X112" s="4" t="s">
        <v>21</v>
      </c>
      <c r="Y112" s="8" t="s">
        <v>235</v>
      </c>
      <c r="Z112" s="3" t="str">
        <f>Y112</f>
        <v>dropout/power</v>
      </c>
      <c r="AB112" s="5"/>
      <c r="AC112" s="7">
        <v>4</v>
      </c>
      <c r="AD112" s="6">
        <f>VLOOKUP(G112,RoF,2,FALSE)</f>
        <v>1.4</v>
      </c>
      <c r="AE112" s="5"/>
      <c r="AF112" s="4"/>
      <c r="AG112" s="4">
        <f t="shared" si="91"/>
        <v>2.857142857142857</v>
      </c>
      <c r="AH112" s="4">
        <f>VLOOKUP(S112,FireControl,2)</f>
        <v>1</v>
      </c>
      <c r="AI112" s="4">
        <f>VLOOKUP(N112,Range,2,FALSE)</f>
        <v>1.55</v>
      </c>
      <c r="AJ112" s="4">
        <f>VLOOKUP(W112,Arc,2,FALSE)</f>
        <v>1</v>
      </c>
      <c r="AK112" s="4">
        <f>VLOOKUP(X112,Interceptable,2,FALSE)</f>
        <v>1.1</v>
      </c>
      <c r="AL112" s="4">
        <f>VLOOKUP(F112,Interceptability,2,FALSE)</f>
        <v>0</v>
      </c>
      <c r="AM112" s="5">
        <v>1</v>
      </c>
      <c r="AO112" s="4">
        <f>MAX(AG112*AH112*AI112*AJ112*AK112*AM112,AL112)+MIN(AG112*AH112*AI112*AJ112*AK112,AL112)/2</f>
        <v>4.871428571428572</v>
      </c>
    </row>
    <row r="113" spans="1:41" ht="12.75">
      <c r="A113" s="17" t="s">
        <v>234</v>
      </c>
      <c r="B113" s="12" t="s">
        <v>233</v>
      </c>
      <c r="C113" s="9">
        <f t="shared" si="92"/>
        <v>3.771428571428572</v>
      </c>
      <c r="D113" s="17" t="s">
        <v>232</v>
      </c>
      <c r="E113" s="3" t="s">
        <v>251</v>
      </c>
      <c r="F113" s="7">
        <v>0</v>
      </c>
      <c r="G113" s="3" t="s">
        <v>11</v>
      </c>
      <c r="H113" s="3"/>
      <c r="I113" s="3"/>
      <c r="J113" s="3"/>
      <c r="K113" s="3" t="s">
        <v>2</v>
      </c>
      <c r="L113" s="3"/>
      <c r="M113" s="3"/>
      <c r="N113" s="10" t="str">
        <f>VLOOKUP(D113,Weapon_range,(VLOOKUP(E113,weapon_size_col,2,FALSE)),FALSE)</f>
        <v>1/4</v>
      </c>
      <c r="O113" s="10">
        <v>9</v>
      </c>
      <c r="P113" s="10">
        <v>-6</v>
      </c>
      <c r="Q113" s="10">
        <v>-25</v>
      </c>
      <c r="R113" s="10">
        <v>-55</v>
      </c>
      <c r="S113" s="9">
        <f>VLOOKUP($D113,Weapon_mode,2,FALSE)+VLOOKUP($E113,Weapon_size,2,FALSE)</f>
        <v>0</v>
      </c>
      <c r="T113" s="9">
        <f>VLOOKUP($D113,Weapon_mode,3,FALSE)++VLOOKUP($E113,Weapon_size,3,FALSE)</f>
        <v>4</v>
      </c>
      <c r="U113" s="9">
        <f>VLOOKUP($D113,Weapon_mode,4,FALSE)+VLOOKUP($E113,Weapon_size,4,FALSE)</f>
        <v>7</v>
      </c>
      <c r="V113" s="9">
        <f t="shared" si="75"/>
        <v>-16</v>
      </c>
      <c r="W113" s="7">
        <v>120</v>
      </c>
      <c r="X113" s="4" t="s">
        <v>21</v>
      </c>
      <c r="Y113" s="8" t="s">
        <v>231</v>
      </c>
      <c r="Z113" s="3" t="str">
        <f>Y113</f>
        <v>dropout</v>
      </c>
      <c r="AB113" s="5"/>
      <c r="AC113" s="7">
        <v>4</v>
      </c>
      <c r="AD113" s="6">
        <f>VLOOKUP(G113,RoF,2,FALSE)</f>
        <v>1.4</v>
      </c>
      <c r="AE113" s="5">
        <v>3</v>
      </c>
      <c r="AF113" s="4"/>
      <c r="AG113" s="4">
        <f t="shared" si="91"/>
        <v>2.857142857142857</v>
      </c>
      <c r="AH113" s="4">
        <f>VLOOKUP(S113,FireControl,2)</f>
        <v>1</v>
      </c>
      <c r="AI113" s="4">
        <f>VLOOKUP(N113,Range,2,FALSE)</f>
        <v>1.55</v>
      </c>
      <c r="AJ113" s="4">
        <f>VLOOKUP(W113,Arc,2,FALSE)</f>
        <v>1</v>
      </c>
      <c r="AK113" s="4">
        <f>VLOOKUP(X113,Interceptable,2,FALSE)</f>
        <v>1.1</v>
      </c>
      <c r="AL113" s="4">
        <f>VLOOKUP(F113,Interceptability,2,FALSE)</f>
        <v>0</v>
      </c>
      <c r="AM113" s="5">
        <v>1</v>
      </c>
      <c r="AO113" s="4">
        <f>MAX(AG113*AH113*AI113*AJ113*AK113*AM113,AL113)+MIN(AG113*AH113*AI113*AJ113*AK113,AL113)/2</f>
        <v>4.871428571428572</v>
      </c>
    </row>
    <row r="114" spans="1:41" ht="12.75">
      <c r="A114" s="17" t="s">
        <v>229</v>
      </c>
      <c r="B114" s="12" t="s">
        <v>228</v>
      </c>
      <c r="C114" s="9">
        <f t="shared" si="92"/>
        <v>55.13062500000001</v>
      </c>
      <c r="D114" s="17" t="s">
        <v>22</v>
      </c>
      <c r="E114" s="3" t="s">
        <v>213</v>
      </c>
      <c r="F114" s="7">
        <v>0</v>
      </c>
      <c r="G114" s="3" t="s">
        <v>227</v>
      </c>
      <c r="H114" s="3"/>
      <c r="I114" s="3"/>
      <c r="J114" s="3"/>
      <c r="K114" s="3" t="s">
        <v>2</v>
      </c>
      <c r="L114" s="3"/>
      <c r="M114" s="3"/>
      <c r="N114" s="10" t="str">
        <f>VLOOKUP(D114,Weapon_range,(VLOOKUP(E114,weapon_size_col,2,FALSE)),FALSE)</f>
        <v>1/4</v>
      </c>
      <c r="O114" s="10">
        <v>1</v>
      </c>
      <c r="P114" s="10">
        <v>9</v>
      </c>
      <c r="Q114" s="10">
        <v>2</v>
      </c>
      <c r="R114" s="10">
        <v>-4</v>
      </c>
      <c r="S114" s="9">
        <f>VLOOKUP($D114,Weapon_mode,2,FALSE)+VLOOKUP($E114,Weapon_size,2,FALSE)</f>
        <v>1</v>
      </c>
      <c r="T114" s="9">
        <f>VLOOKUP($D114,Weapon_mode,3,FALSE)++VLOOKUP($E114,Weapon_size,3,FALSE)</f>
        <v>1</v>
      </c>
      <c r="U114" s="9">
        <f>VLOOKUP($D114,Weapon_mode,4,FALSE)+VLOOKUP($E114,Weapon_size,4,FALSE)</f>
        <v>2</v>
      </c>
      <c r="V114" s="9">
        <f t="shared" si="75"/>
        <v>5</v>
      </c>
      <c r="W114" s="7">
        <v>60</v>
      </c>
      <c r="X114" s="4" t="s">
        <v>21</v>
      </c>
      <c r="Y114" s="8" t="s">
        <v>226</v>
      </c>
      <c r="Z114" s="3" t="s">
        <v>225</v>
      </c>
      <c r="AB114" s="5">
        <v>103</v>
      </c>
      <c r="AC114" s="7">
        <f>AB114-4</f>
        <v>99</v>
      </c>
      <c r="AD114" s="6">
        <f>VLOOKUP(G114,RoF,2,FALSE)</f>
        <v>4</v>
      </c>
      <c r="AE114" s="5">
        <v>1</v>
      </c>
      <c r="AF114" s="4">
        <f>AB114/(AD114*AE114)</f>
        <v>25.75</v>
      </c>
      <c r="AG114" s="4">
        <f t="shared" si="91"/>
        <v>24.75</v>
      </c>
      <c r="AH114" s="4">
        <f>VLOOKUP(S114,FireControl,2)</f>
        <v>1.07</v>
      </c>
      <c r="AI114" s="4">
        <f>VLOOKUP(N114,Range,2,FALSE)</f>
        <v>1.55</v>
      </c>
      <c r="AJ114" s="4">
        <f>VLOOKUP(W114,Arc,2,FALSE)</f>
        <v>0.9</v>
      </c>
      <c r="AK114" s="4">
        <f>VLOOKUP(X114,Interceptable,2,FALSE)</f>
        <v>1.1</v>
      </c>
      <c r="AL114" s="4">
        <f>VLOOKUP(F114,Interceptability,2,FALSE)</f>
        <v>0</v>
      </c>
      <c r="AM114" s="5">
        <v>1</v>
      </c>
      <c r="AO114" s="4">
        <f>MAX(AG114*AH114*AI114*AJ114*AK114*AM114,AL114)+MIN(AG114*AH114*AI114*AJ114*AK114,AL114)/2</f>
        <v>40.63739625000001</v>
      </c>
    </row>
    <row r="115" spans="1:41" ht="12.75">
      <c r="A115" s="17"/>
      <c r="B115" s="12"/>
      <c r="C115" s="9" t="e">
        <f t="shared" si="92"/>
        <v>#DIV/0!</v>
      </c>
      <c r="D115" s="17"/>
      <c r="E115" s="3"/>
      <c r="F115" s="7"/>
      <c r="G115" s="3"/>
      <c r="H115" s="3"/>
      <c r="I115" s="3"/>
      <c r="J115" s="3"/>
      <c r="K115" s="3"/>
      <c r="L115" s="3"/>
      <c r="M115" s="3"/>
      <c r="N115" s="10"/>
      <c r="O115" s="10"/>
      <c r="P115" s="10"/>
      <c r="Q115" s="10"/>
      <c r="R115" s="10"/>
      <c r="S115" s="9"/>
      <c r="T115" s="9"/>
      <c r="U115" s="9"/>
      <c r="V115" s="9">
        <f t="shared" si="75"/>
        <v>0</v>
      </c>
      <c r="W115" s="7"/>
      <c r="X115" s="4"/>
      <c r="Y115" s="8"/>
      <c r="Z115" s="5"/>
      <c r="AB115" s="5"/>
      <c r="AC115" s="7"/>
      <c r="AD115" s="6"/>
      <c r="AE115" s="5"/>
      <c r="AF115" s="4"/>
      <c r="AG115" s="4" t="e">
        <f t="shared" si="91"/>
        <v>#DIV/0!</v>
      </c>
      <c r="AH115" s="4"/>
      <c r="AI115" s="4"/>
      <c r="AJ115" s="7"/>
      <c r="AK115" s="4"/>
      <c r="AL115" s="4"/>
      <c r="AO115" s="4"/>
    </row>
    <row r="116" spans="1:41" ht="12.75">
      <c r="A116" s="21" t="s">
        <v>186</v>
      </c>
      <c r="B116" s="12"/>
      <c r="C116" s="9" t="e">
        <f t="shared" si="92"/>
        <v>#DIV/0!</v>
      </c>
      <c r="E116" s="3"/>
      <c r="F116" s="7"/>
      <c r="G116" s="5"/>
      <c r="H116" s="5"/>
      <c r="I116" s="5"/>
      <c r="J116" s="5"/>
      <c r="K116" s="5"/>
      <c r="L116" s="5"/>
      <c r="M116" s="5"/>
      <c r="N116" s="10"/>
      <c r="O116" s="10"/>
      <c r="P116" s="10"/>
      <c r="Q116" s="10"/>
      <c r="R116" s="10"/>
      <c r="S116" s="9"/>
      <c r="T116" s="9"/>
      <c r="U116" s="9"/>
      <c r="V116" s="9">
        <f t="shared" si="75"/>
        <v>0</v>
      </c>
      <c r="W116" s="7"/>
      <c r="X116" s="4"/>
      <c r="Y116" s="14"/>
      <c r="Z116" s="5"/>
      <c r="AB116" s="5"/>
      <c r="AC116" s="7"/>
      <c r="AD116" s="6"/>
      <c r="AE116" s="5"/>
      <c r="AF116" s="4"/>
      <c r="AG116" s="4" t="e">
        <f t="shared" si="91"/>
        <v>#DIV/0!</v>
      </c>
      <c r="AH116" s="4"/>
      <c r="AI116" s="4"/>
      <c r="AJ116" s="7"/>
      <c r="AK116" s="4"/>
      <c r="AL116" s="4"/>
      <c r="AO116" s="4"/>
    </row>
    <row r="117" spans="1:41" ht="12.75">
      <c r="A117" s="17" t="s">
        <v>215</v>
      </c>
      <c r="B117" s="12" t="s">
        <v>214</v>
      </c>
      <c r="C117" s="9">
        <f>AG117*AJ117*AK117*(1+AL117/10)*AM117*(2+V117/20)</f>
        <v>61.47814464000003</v>
      </c>
      <c r="D117" s="17" t="s">
        <v>186</v>
      </c>
      <c r="E117" s="3" t="s">
        <v>213</v>
      </c>
      <c r="F117" s="7">
        <v>0</v>
      </c>
      <c r="G117" s="3" t="s">
        <v>212</v>
      </c>
      <c r="H117" s="3" t="s">
        <v>2</v>
      </c>
      <c r="I117" s="3"/>
      <c r="J117" s="3" t="s">
        <v>2</v>
      </c>
      <c r="K117" s="3"/>
      <c r="L117" s="3"/>
      <c r="M117" s="3"/>
      <c r="N117" s="10" t="str">
        <f>VLOOKUP(D117,Weapon_range,(VLOOKUP(E117,weapon_size_col,2,FALSE)),FALSE)</f>
        <v>1/4</v>
      </c>
      <c r="O117" s="10">
        <v>0</v>
      </c>
      <c r="P117" s="10">
        <v>8</v>
      </c>
      <c r="Q117" s="10">
        <v>2</v>
      </c>
      <c r="R117" s="10">
        <v>-3</v>
      </c>
      <c r="S117" s="9">
        <f>VLOOKUP($D117,Weapon_mode,2,FALSE)+VLOOKUP($E117,Weapon_size,2,FALSE)</f>
        <v>1</v>
      </c>
      <c r="T117" s="9">
        <f>VLOOKUP($D117,Weapon_mode,3,FALSE)++VLOOKUP($E117,Weapon_size,3,FALSE)</f>
        <v>1</v>
      </c>
      <c r="U117" s="9">
        <f>VLOOKUP($D117,Weapon_mode,4,FALSE)+VLOOKUP($E117,Weapon_size,4,FALSE)</f>
        <v>2</v>
      </c>
      <c r="V117" s="9">
        <f t="shared" si="75"/>
        <v>4</v>
      </c>
      <c r="W117" s="7">
        <v>60</v>
      </c>
      <c r="X117" s="4" t="s">
        <v>21</v>
      </c>
      <c r="Y117" s="8" t="s">
        <v>211</v>
      </c>
      <c r="Z117" s="3" t="s">
        <v>978</v>
      </c>
      <c r="AB117" s="5">
        <v>33</v>
      </c>
      <c r="AC117" s="7">
        <f>AB117*1.1</f>
        <v>36.300000000000004</v>
      </c>
      <c r="AD117" s="6">
        <f>VLOOKUP(G117,RoF,2,FALSE)</f>
        <v>2.5</v>
      </c>
      <c r="AE117" s="5">
        <v>6</v>
      </c>
      <c r="AF117" s="4">
        <f>AB117/(AD117*AE117)</f>
        <v>2.2</v>
      </c>
      <c r="AG117" s="4">
        <f>AC117/AD117*IF(H117="Y",raking,1)*IF(I117="Y",Pierce,1)*IF(J117="Y",Sustained,1)*IF(K117="Y",standard,1)*IF(L117="Y",Pulse,1)*IF(M117="Y",Flash,1)</f>
        <v>23.522400000000005</v>
      </c>
      <c r="AH117" s="4">
        <f>VLOOKUP(S117,FireControl,2)</f>
        <v>1.07</v>
      </c>
      <c r="AI117" s="4">
        <f>VLOOKUP(N117,Range,2,FALSE)</f>
        <v>1.55</v>
      </c>
      <c r="AJ117" s="4">
        <f>VLOOKUP(W117,Arc,2,FALSE)</f>
        <v>0.9</v>
      </c>
      <c r="AK117" s="4">
        <f>VLOOKUP(X117,Interceptable,2,FALSE)</f>
        <v>1.1</v>
      </c>
      <c r="AL117" s="4">
        <f>VLOOKUP(F117,Interceptability,2,FALSE)</f>
        <v>0</v>
      </c>
      <c r="AM117" s="5">
        <v>1.2</v>
      </c>
      <c r="AN117" t="s">
        <v>979</v>
      </c>
      <c r="AO117" s="4">
        <f>MAX(AG117*AH117*AI117*AJ117*AK117*AM117,AL117)+MIN(AG117*AH117*AI117*AJ117*AK117,AL117)/2</f>
        <v>46.34613767520001</v>
      </c>
    </row>
    <row r="118" spans="1:41" ht="12.75">
      <c r="A118" s="17" t="s">
        <v>222</v>
      </c>
      <c r="B118" s="12" t="s">
        <v>223</v>
      </c>
      <c r="C118" s="9">
        <f t="shared" si="92"/>
        <v>24.556950000000004</v>
      </c>
      <c r="D118" s="17" t="s">
        <v>186</v>
      </c>
      <c r="E118" s="3" t="s">
        <v>16</v>
      </c>
      <c r="F118" s="7">
        <v>0</v>
      </c>
      <c r="G118" s="3" t="s">
        <v>212</v>
      </c>
      <c r="H118" s="3" t="s">
        <v>2</v>
      </c>
      <c r="I118" s="3"/>
      <c r="J118" s="3"/>
      <c r="K118" s="3"/>
      <c r="L118" s="3"/>
      <c r="M118" s="3"/>
      <c r="N118" s="10" t="str">
        <f aca="true" t="shared" si="93" ref="N118:N128">VLOOKUP(D118,Weapon_range,(VLOOKUP(E118,weapon_size_col,2,FALSE)),FALSE)</f>
        <v>1/4</v>
      </c>
      <c r="O118" s="10">
        <v>3</v>
      </c>
      <c r="P118" s="10">
        <v>6</v>
      </c>
      <c r="Q118" s="10">
        <v>-1</v>
      </c>
      <c r="R118" s="10">
        <v>-8</v>
      </c>
      <c r="S118" s="9">
        <f aca="true" t="shared" si="94" ref="S118:S128">VLOOKUP($D118,Weapon_mode,2,FALSE)+VLOOKUP($E118,Weapon_size,2,FALSE)</f>
        <v>1</v>
      </c>
      <c r="T118" s="9">
        <f aca="true" t="shared" si="95" ref="T118:T128">VLOOKUP($D118,Weapon_mode,3,FALSE)++VLOOKUP($E118,Weapon_size,3,FALSE)</f>
        <v>2</v>
      </c>
      <c r="U118" s="9">
        <f aca="true" t="shared" si="96" ref="U118:U128">VLOOKUP($D118,Weapon_mode,4,FALSE)+VLOOKUP($E118,Weapon_size,4,FALSE)</f>
        <v>2</v>
      </c>
      <c r="V118" s="9">
        <f t="shared" si="75"/>
        <v>1</v>
      </c>
      <c r="W118" s="7">
        <v>120</v>
      </c>
      <c r="X118" s="4" t="s">
        <v>21</v>
      </c>
      <c r="Y118" s="8" t="s">
        <v>220</v>
      </c>
      <c r="Z118" s="3" t="s">
        <v>968</v>
      </c>
      <c r="AB118" s="5">
        <v>27.5</v>
      </c>
      <c r="AC118" s="7">
        <f aca="true" t="shared" si="97" ref="AC118:AC130">AB118*1.1</f>
        <v>30.250000000000004</v>
      </c>
      <c r="AD118" s="6">
        <f aca="true" t="shared" si="98" ref="AD118:AD128">VLOOKUP(G118,RoF,2,FALSE)</f>
        <v>2.5</v>
      </c>
      <c r="AE118" s="5">
        <v>8</v>
      </c>
      <c r="AF118" s="4">
        <f aca="true" t="shared" si="99" ref="AF118:AF128">AB118/(AD118*AE118)</f>
        <v>1.375</v>
      </c>
      <c r="AG118" s="4">
        <f t="shared" si="91"/>
        <v>10.890000000000002</v>
      </c>
      <c r="AH118" s="4">
        <f aca="true" t="shared" si="100" ref="AH118:AH123">VLOOKUP(S118,FireControl,2)</f>
        <v>1.07</v>
      </c>
      <c r="AI118" s="4">
        <f aca="true" t="shared" si="101" ref="AI118:AI128">VLOOKUP(N118,Range,2,FALSE)</f>
        <v>1.55</v>
      </c>
      <c r="AJ118" s="4">
        <f aca="true" t="shared" si="102" ref="AJ118:AJ128">VLOOKUP(W118,Arc,2,FALSE)</f>
        <v>1</v>
      </c>
      <c r="AK118" s="4">
        <f aca="true" t="shared" si="103" ref="AK118:AK128">VLOOKUP(X118,Interceptable,2,FALSE)</f>
        <v>1.1</v>
      </c>
      <c r="AL118" s="4">
        <f aca="true" t="shared" si="104" ref="AL118:AL128">VLOOKUP(F118,Interceptability,2,FALSE)</f>
        <v>0</v>
      </c>
      <c r="AM118" s="5">
        <v>1</v>
      </c>
      <c r="AO118" s="4">
        <f aca="true" t="shared" si="105" ref="AO118:AO128">MAX(AG118*AH118*AI118*AJ118*AK118*AM118,AL118)+MIN(AG118*AH118*AI118*AJ118*AK118,AL118)/2</f>
        <v>19.86717150000001</v>
      </c>
    </row>
    <row r="119" spans="1:41" ht="12.75">
      <c r="A119" s="17" t="s">
        <v>222</v>
      </c>
      <c r="B119" s="12" t="s">
        <v>221</v>
      </c>
      <c r="C119" s="9">
        <f t="shared" si="92"/>
        <v>22.101255000000002</v>
      </c>
      <c r="D119" s="17" t="s">
        <v>186</v>
      </c>
      <c r="E119" s="3" t="s">
        <v>16</v>
      </c>
      <c r="F119" s="7">
        <v>0</v>
      </c>
      <c r="G119" s="3" t="s">
        <v>212</v>
      </c>
      <c r="H119" s="3" t="s">
        <v>2</v>
      </c>
      <c r="I119" s="3"/>
      <c r="J119" s="3"/>
      <c r="K119" s="3"/>
      <c r="L119" s="3"/>
      <c r="M119" s="3"/>
      <c r="N119" s="10" t="str">
        <f t="shared" si="93"/>
        <v>1/4</v>
      </c>
      <c r="O119" s="10">
        <v>3</v>
      </c>
      <c r="P119" s="10">
        <v>6</v>
      </c>
      <c r="Q119" s="10">
        <v>-1</v>
      </c>
      <c r="R119" s="10">
        <v>-8</v>
      </c>
      <c r="S119" s="9">
        <f t="shared" si="94"/>
        <v>1</v>
      </c>
      <c r="T119" s="9">
        <f t="shared" si="95"/>
        <v>2</v>
      </c>
      <c r="U119" s="9">
        <f t="shared" si="96"/>
        <v>2</v>
      </c>
      <c r="V119" s="9">
        <f t="shared" si="75"/>
        <v>1</v>
      </c>
      <c r="W119" s="7">
        <v>60</v>
      </c>
      <c r="X119" s="4" t="s">
        <v>21</v>
      </c>
      <c r="Y119" s="8" t="s">
        <v>220</v>
      </c>
      <c r="Z119" s="3" t="str">
        <f>Y119</f>
        <v>5d10 + 12</v>
      </c>
      <c r="AB119" s="5">
        <v>27.5</v>
      </c>
      <c r="AC119" s="7">
        <f t="shared" si="97"/>
        <v>30.250000000000004</v>
      </c>
      <c r="AD119" s="6">
        <f t="shared" si="98"/>
        <v>2.5</v>
      </c>
      <c r="AE119" s="5">
        <v>8</v>
      </c>
      <c r="AF119" s="4">
        <f t="shared" si="99"/>
        <v>1.375</v>
      </c>
      <c r="AG119" s="4">
        <f t="shared" si="91"/>
        <v>10.890000000000002</v>
      </c>
      <c r="AH119" s="4">
        <f t="shared" si="100"/>
        <v>1.07</v>
      </c>
      <c r="AI119" s="4">
        <f t="shared" si="101"/>
        <v>1.55</v>
      </c>
      <c r="AJ119" s="4">
        <f t="shared" si="102"/>
        <v>0.9</v>
      </c>
      <c r="AK119" s="4">
        <f t="shared" si="103"/>
        <v>1.1</v>
      </c>
      <c r="AL119" s="4">
        <f t="shared" si="104"/>
        <v>0</v>
      </c>
      <c r="AM119" s="5">
        <v>1</v>
      </c>
      <c r="AO119" s="4">
        <f t="shared" si="105"/>
        <v>17.88045435000001</v>
      </c>
    </row>
    <row r="120" spans="1:41" ht="12.75">
      <c r="A120" s="17" t="s">
        <v>219</v>
      </c>
      <c r="B120" s="12" t="s">
        <v>218</v>
      </c>
      <c r="C120" s="9">
        <f t="shared" si="92"/>
        <v>16.462158682634737</v>
      </c>
      <c r="D120" s="17" t="s">
        <v>186</v>
      </c>
      <c r="E120" s="3" t="s">
        <v>12</v>
      </c>
      <c r="F120" s="7">
        <v>0</v>
      </c>
      <c r="G120" s="3" t="s">
        <v>15</v>
      </c>
      <c r="H120" s="3" t="s">
        <v>2</v>
      </c>
      <c r="I120" s="3"/>
      <c r="J120" s="3"/>
      <c r="K120" s="3"/>
      <c r="L120" s="3"/>
      <c r="M120" s="3"/>
      <c r="N120" s="10" t="str">
        <f t="shared" si="93"/>
        <v>1/4</v>
      </c>
      <c r="O120" s="10">
        <v>4</v>
      </c>
      <c r="P120" s="10">
        <v>3</v>
      </c>
      <c r="Q120" s="10">
        <v>-7</v>
      </c>
      <c r="R120" s="10">
        <v>-19</v>
      </c>
      <c r="S120" s="9">
        <f t="shared" si="94"/>
        <v>0</v>
      </c>
      <c r="T120" s="9">
        <f t="shared" si="95"/>
        <v>2</v>
      </c>
      <c r="U120" s="9">
        <f t="shared" si="96"/>
        <v>3</v>
      </c>
      <c r="V120" s="9">
        <f t="shared" si="75"/>
        <v>-6</v>
      </c>
      <c r="W120" s="7">
        <v>60</v>
      </c>
      <c r="X120" s="4" t="s">
        <v>21</v>
      </c>
      <c r="Y120" s="8" t="s">
        <v>124</v>
      </c>
      <c r="Z120" s="3" t="s">
        <v>969</v>
      </c>
      <c r="AB120" s="5">
        <v>16.5</v>
      </c>
      <c r="AC120" s="7">
        <f t="shared" si="97"/>
        <v>18.150000000000002</v>
      </c>
      <c r="AD120" s="6">
        <f t="shared" si="98"/>
        <v>1.67</v>
      </c>
      <c r="AE120" s="5">
        <v>8</v>
      </c>
      <c r="AF120" s="4">
        <f t="shared" si="99"/>
        <v>1.2350299401197606</v>
      </c>
      <c r="AG120" s="4">
        <f t="shared" si="91"/>
        <v>9.781437125748505</v>
      </c>
      <c r="AH120" s="4">
        <f t="shared" si="100"/>
        <v>1</v>
      </c>
      <c r="AI120" s="4">
        <f t="shared" si="101"/>
        <v>1.55</v>
      </c>
      <c r="AJ120" s="4">
        <f t="shared" si="102"/>
        <v>0.9</v>
      </c>
      <c r="AK120" s="4">
        <f t="shared" si="103"/>
        <v>1.1</v>
      </c>
      <c r="AL120" s="4">
        <f t="shared" si="104"/>
        <v>0</v>
      </c>
      <c r="AM120" s="5">
        <v>1</v>
      </c>
      <c r="AO120" s="4">
        <f t="shared" si="105"/>
        <v>15.009615269461083</v>
      </c>
    </row>
    <row r="121" spans="1:41" ht="12.75">
      <c r="A121" s="17" t="s">
        <v>217</v>
      </c>
      <c r="B121" s="12" t="s">
        <v>216</v>
      </c>
      <c r="C121" s="9">
        <f t="shared" si="92"/>
        <v>11.166139285714289</v>
      </c>
      <c r="D121" s="17" t="s">
        <v>186</v>
      </c>
      <c r="E121" s="3" t="s">
        <v>8</v>
      </c>
      <c r="F121" s="7">
        <v>0</v>
      </c>
      <c r="G121" s="3" t="s">
        <v>11</v>
      </c>
      <c r="H121" s="3" t="s">
        <v>2</v>
      </c>
      <c r="I121" s="3"/>
      <c r="J121" s="3"/>
      <c r="K121" s="3"/>
      <c r="L121" s="3"/>
      <c r="M121" s="3"/>
      <c r="N121" s="10" t="str">
        <f t="shared" si="93"/>
        <v>1/4</v>
      </c>
      <c r="O121" s="10">
        <v>7</v>
      </c>
      <c r="P121" s="10">
        <v>-1</v>
      </c>
      <c r="Q121" s="10">
        <v>-14</v>
      </c>
      <c r="R121" s="10">
        <v>-33</v>
      </c>
      <c r="S121" s="9">
        <f t="shared" si="94"/>
        <v>0</v>
      </c>
      <c r="T121" s="9">
        <f t="shared" si="95"/>
        <v>3</v>
      </c>
      <c r="U121" s="9">
        <f t="shared" si="96"/>
        <v>5</v>
      </c>
      <c r="V121" s="9">
        <f t="shared" si="75"/>
        <v>-11</v>
      </c>
      <c r="W121" s="7">
        <v>60</v>
      </c>
      <c r="X121" s="4" t="s">
        <v>21</v>
      </c>
      <c r="Y121" s="8" t="s">
        <v>124</v>
      </c>
      <c r="Z121" s="3" t="s">
        <v>0</v>
      </c>
      <c r="AB121" s="5">
        <v>11</v>
      </c>
      <c r="AC121" s="7">
        <f t="shared" si="97"/>
        <v>12.100000000000001</v>
      </c>
      <c r="AD121" s="6">
        <f t="shared" si="98"/>
        <v>1.4</v>
      </c>
      <c r="AE121" s="5">
        <v>8</v>
      </c>
      <c r="AF121" s="4">
        <f t="shared" si="99"/>
        <v>0.9821428571428572</v>
      </c>
      <c r="AG121" s="4">
        <f t="shared" si="91"/>
        <v>7.77857142857143</v>
      </c>
      <c r="AH121" s="4">
        <f t="shared" si="100"/>
        <v>1</v>
      </c>
      <c r="AI121" s="4">
        <f t="shared" si="101"/>
        <v>1.55</v>
      </c>
      <c r="AJ121" s="4">
        <f t="shared" si="102"/>
        <v>0.9</v>
      </c>
      <c r="AK121" s="4">
        <f t="shared" si="103"/>
        <v>1.1</v>
      </c>
      <c r="AL121" s="4">
        <f t="shared" si="104"/>
        <v>0</v>
      </c>
      <c r="AM121" s="5">
        <v>1</v>
      </c>
      <c r="AO121" s="4">
        <f t="shared" si="105"/>
        <v>11.93621785714286</v>
      </c>
    </row>
    <row r="122" spans="1:41" ht="12.75">
      <c r="A122" s="17" t="s">
        <v>207</v>
      </c>
      <c r="B122" s="12" t="s">
        <v>187</v>
      </c>
      <c r="C122" s="9">
        <f>AG122*AJ122*AK122*(1+AL122/10)*AM122*(2+V122/20)</f>
        <v>22.171257485029944</v>
      </c>
      <c r="D122" s="17" t="s">
        <v>186</v>
      </c>
      <c r="E122" s="3" t="s">
        <v>12</v>
      </c>
      <c r="F122" s="7">
        <v>0</v>
      </c>
      <c r="G122" s="3" t="s">
        <v>15</v>
      </c>
      <c r="H122" s="3"/>
      <c r="I122" s="3"/>
      <c r="J122" s="3"/>
      <c r="K122" s="3"/>
      <c r="L122" s="3"/>
      <c r="M122" s="3"/>
      <c r="N122" s="10" t="str">
        <f>VLOOKUP(D122,Weapon_range,(VLOOKUP(E122,weapon_size_col,2,FALSE)),FALSE)</f>
        <v>1/4</v>
      </c>
      <c r="O122" s="10">
        <v>4</v>
      </c>
      <c r="P122" s="10">
        <v>3</v>
      </c>
      <c r="Q122" s="10">
        <v>-7</v>
      </c>
      <c r="R122" s="10">
        <v>-19</v>
      </c>
      <c r="S122" s="9">
        <f>VLOOKUP($D122,Weapon_mode,2,FALSE)+VLOOKUP($E122,Weapon_size,2,FALSE)</f>
        <v>0</v>
      </c>
      <c r="T122" s="9">
        <f>VLOOKUP($D122,Weapon_mode,3,FALSE)++VLOOKUP($E122,Weapon_size,3,FALSE)</f>
        <v>2</v>
      </c>
      <c r="U122" s="9">
        <f>VLOOKUP($D122,Weapon_mode,4,FALSE)+VLOOKUP($E122,Weapon_size,4,FALSE)</f>
        <v>3</v>
      </c>
      <c r="V122" s="9">
        <f t="shared" si="75"/>
        <v>-6</v>
      </c>
      <c r="W122" s="7">
        <v>120</v>
      </c>
      <c r="X122" s="4" t="s">
        <v>21</v>
      </c>
      <c r="Y122" s="8" t="s">
        <v>124</v>
      </c>
      <c r="Z122" s="3" t="str">
        <f>Y122</f>
        <v>n/a</v>
      </c>
      <c r="AB122" s="5">
        <v>18</v>
      </c>
      <c r="AC122" s="7">
        <f t="shared" si="97"/>
        <v>19.8</v>
      </c>
      <c r="AD122" s="6">
        <f>VLOOKUP(G122,RoF,2,FALSE)</f>
        <v>1.67</v>
      </c>
      <c r="AE122" s="5">
        <v>5</v>
      </c>
      <c r="AF122" s="4">
        <f>AB122/(AD122*AE122)</f>
        <v>2.155688622754491</v>
      </c>
      <c r="AG122" s="4">
        <f>AC122/AD122*IF(H122="Y",raking,1)*IF(I122="Y",Pierce,1)*IF(J122="Y",Sustained,1)*IF(K122="Y",standard,1)*IF(L122="Y",Pulse,1)*IF(M122="Y",Flash,1)</f>
        <v>11.856287425149702</v>
      </c>
      <c r="AH122" s="4">
        <f>VLOOKUP(S122,FireControl,2)</f>
        <v>1</v>
      </c>
      <c r="AI122" s="4">
        <f>VLOOKUP(N122,Range,2,FALSE)</f>
        <v>1.55</v>
      </c>
      <c r="AJ122" s="4">
        <f>VLOOKUP(W122,Arc,2,FALSE)</f>
        <v>1</v>
      </c>
      <c r="AK122" s="4">
        <f>VLOOKUP(X122,Interceptable,2,FALSE)</f>
        <v>1.1</v>
      </c>
      <c r="AL122" s="4">
        <f>VLOOKUP(F122,Interceptability,2,FALSE)</f>
        <v>0</v>
      </c>
      <c r="AM122" s="5">
        <v>1</v>
      </c>
      <c r="AO122" s="4">
        <f>MAX(AG122*AH122*AI122*AJ122*AK122*AM122,AL122)+MIN(AG122*AH122*AI122*AJ122*AK122,AL122)/2</f>
        <v>20.214970059880244</v>
      </c>
    </row>
    <row r="123" spans="1:41" ht="12.75">
      <c r="A123" s="17" t="s">
        <v>210</v>
      </c>
      <c r="B123" s="12" t="s">
        <v>209</v>
      </c>
      <c r="C123" s="9">
        <f t="shared" si="92"/>
        <v>9.882675000000003</v>
      </c>
      <c r="D123" s="17" t="s">
        <v>186</v>
      </c>
      <c r="E123" s="3" t="s">
        <v>8</v>
      </c>
      <c r="F123" s="7">
        <v>-1</v>
      </c>
      <c r="G123" s="3" t="s">
        <v>3</v>
      </c>
      <c r="H123" s="3"/>
      <c r="I123" s="3"/>
      <c r="J123" s="3"/>
      <c r="K123" s="3" t="s">
        <v>2</v>
      </c>
      <c r="L123" s="3"/>
      <c r="M123" s="3"/>
      <c r="N123" s="10" t="str">
        <f t="shared" si="93"/>
        <v>1/4</v>
      </c>
      <c r="O123" s="10">
        <v>8</v>
      </c>
      <c r="P123" s="10">
        <v>-2</v>
      </c>
      <c r="Q123" s="10">
        <v>-17</v>
      </c>
      <c r="R123" s="10">
        <v>-40</v>
      </c>
      <c r="S123" s="9">
        <f t="shared" si="94"/>
        <v>0</v>
      </c>
      <c r="T123" s="9">
        <f t="shared" si="95"/>
        <v>3</v>
      </c>
      <c r="U123" s="9">
        <f t="shared" si="96"/>
        <v>5</v>
      </c>
      <c r="V123" s="9">
        <f t="shared" si="75"/>
        <v>-13</v>
      </c>
      <c r="W123" s="7">
        <v>120</v>
      </c>
      <c r="X123" s="4" t="s">
        <v>21</v>
      </c>
      <c r="Y123" s="8" t="s">
        <v>208</v>
      </c>
      <c r="Z123" s="3" t="s">
        <v>970</v>
      </c>
      <c r="AB123" s="5">
        <v>5.5</v>
      </c>
      <c r="AC123" s="7">
        <f t="shared" si="97"/>
        <v>6.050000000000001</v>
      </c>
      <c r="AD123" s="6">
        <f t="shared" si="98"/>
        <v>1</v>
      </c>
      <c r="AE123" s="5">
        <v>5</v>
      </c>
      <c r="AF123" s="4">
        <f t="shared" si="99"/>
        <v>1.1</v>
      </c>
      <c r="AG123" s="4">
        <f t="shared" si="91"/>
        <v>6.050000000000001</v>
      </c>
      <c r="AH123" s="4">
        <f t="shared" si="100"/>
        <v>1</v>
      </c>
      <c r="AI123" s="4">
        <f t="shared" si="101"/>
        <v>1.55</v>
      </c>
      <c r="AJ123" s="4">
        <f t="shared" si="102"/>
        <v>1</v>
      </c>
      <c r="AK123" s="4">
        <f t="shared" si="103"/>
        <v>1.1</v>
      </c>
      <c r="AL123" s="4">
        <f t="shared" si="104"/>
        <v>1</v>
      </c>
      <c r="AM123" s="5">
        <v>1</v>
      </c>
      <c r="AO123" s="4">
        <f t="shared" si="105"/>
        <v>10.815250000000002</v>
      </c>
    </row>
    <row r="124" spans="1:41" ht="12.75">
      <c r="A124" s="8" t="s">
        <v>206</v>
      </c>
      <c r="B124" s="12" t="s">
        <v>205</v>
      </c>
      <c r="C124" s="9">
        <f t="shared" si="92"/>
        <v>11.132000000000001</v>
      </c>
      <c r="D124" s="17" t="s">
        <v>186</v>
      </c>
      <c r="E124" s="3" t="s">
        <v>12</v>
      </c>
      <c r="F124" s="7">
        <v>-1</v>
      </c>
      <c r="G124" s="3" t="s">
        <v>3</v>
      </c>
      <c r="H124" s="3"/>
      <c r="I124" s="3"/>
      <c r="J124" s="3"/>
      <c r="K124" s="3"/>
      <c r="L124" s="3" t="s">
        <v>2</v>
      </c>
      <c r="M124" s="3"/>
      <c r="N124" s="10" t="str">
        <f t="shared" si="93"/>
        <v>1/4</v>
      </c>
      <c r="O124" s="10">
        <v>5</v>
      </c>
      <c r="P124" s="10">
        <v>2</v>
      </c>
      <c r="Q124" s="10">
        <v>-10</v>
      </c>
      <c r="R124" s="10">
        <v>-26</v>
      </c>
      <c r="S124" s="9">
        <f t="shared" si="94"/>
        <v>0</v>
      </c>
      <c r="T124" s="9">
        <f t="shared" si="95"/>
        <v>2</v>
      </c>
      <c r="U124" s="9">
        <f t="shared" si="96"/>
        <v>3</v>
      </c>
      <c r="V124" s="9">
        <f t="shared" si="75"/>
        <v>-8</v>
      </c>
      <c r="W124" s="7">
        <v>120</v>
      </c>
      <c r="X124" s="4" t="s">
        <v>21</v>
      </c>
      <c r="Y124" s="8" t="s">
        <v>198</v>
      </c>
      <c r="Z124" s="3" t="s">
        <v>972</v>
      </c>
      <c r="AA124" s="26"/>
      <c r="AB124" s="5">
        <v>5</v>
      </c>
      <c r="AC124" s="7">
        <f>AB124</f>
        <v>5</v>
      </c>
      <c r="AD124" s="6">
        <f t="shared" si="98"/>
        <v>1</v>
      </c>
      <c r="AE124" s="5">
        <v>2</v>
      </c>
      <c r="AF124" s="4">
        <f t="shared" si="99"/>
        <v>2.5</v>
      </c>
      <c r="AG124" s="4">
        <f t="shared" si="91"/>
        <v>5.75</v>
      </c>
      <c r="AH124" s="4">
        <f>VLOOKUP((S124+T124+U124)/3,FireControl,2)</f>
        <v>1.07</v>
      </c>
      <c r="AI124" s="4">
        <f t="shared" si="101"/>
        <v>1.55</v>
      </c>
      <c r="AJ124" s="4">
        <f t="shared" si="102"/>
        <v>1</v>
      </c>
      <c r="AK124" s="4">
        <f t="shared" si="103"/>
        <v>1.1</v>
      </c>
      <c r="AL124" s="4">
        <f t="shared" si="104"/>
        <v>1</v>
      </c>
      <c r="AM124" s="5">
        <v>1</v>
      </c>
      <c r="AO124" s="4">
        <f t="shared" si="105"/>
        <v>10.990012500000002</v>
      </c>
    </row>
    <row r="125" spans="1:41" ht="12.75">
      <c r="A125" s="8" t="s">
        <v>204</v>
      </c>
      <c r="B125" s="12" t="s">
        <v>203</v>
      </c>
      <c r="C125" s="9">
        <f t="shared" si="92"/>
        <v>12.245200000000002</v>
      </c>
      <c r="D125" s="17" t="s">
        <v>186</v>
      </c>
      <c r="E125" s="3" t="s">
        <v>12</v>
      </c>
      <c r="F125" s="7">
        <v>-1</v>
      </c>
      <c r="G125" s="3" t="s">
        <v>3</v>
      </c>
      <c r="H125" s="3"/>
      <c r="I125" s="3"/>
      <c r="J125" s="3"/>
      <c r="K125" s="3"/>
      <c r="L125" s="3" t="s">
        <v>2</v>
      </c>
      <c r="M125" s="3"/>
      <c r="N125" s="10" t="str">
        <f t="shared" si="93"/>
        <v>1/4</v>
      </c>
      <c r="O125" s="10">
        <v>5</v>
      </c>
      <c r="P125" s="10">
        <v>2</v>
      </c>
      <c r="Q125" s="10">
        <v>-10</v>
      </c>
      <c r="R125" s="10">
        <v>-26</v>
      </c>
      <c r="S125" s="9">
        <f t="shared" si="94"/>
        <v>0</v>
      </c>
      <c r="T125" s="9">
        <f t="shared" si="95"/>
        <v>2</v>
      </c>
      <c r="U125" s="9">
        <f t="shared" si="96"/>
        <v>3</v>
      </c>
      <c r="V125" s="9">
        <f t="shared" si="75"/>
        <v>-8</v>
      </c>
      <c r="W125" s="7">
        <v>180</v>
      </c>
      <c r="X125" s="4" t="s">
        <v>21</v>
      </c>
      <c r="Y125" s="8" t="s">
        <v>198</v>
      </c>
      <c r="Z125" s="3" t="s">
        <v>972</v>
      </c>
      <c r="AA125" s="26"/>
      <c r="AB125" s="5">
        <v>5</v>
      </c>
      <c r="AC125" s="7">
        <f>AB125</f>
        <v>5</v>
      </c>
      <c r="AD125" s="6">
        <f t="shared" si="98"/>
        <v>1</v>
      </c>
      <c r="AE125" s="5">
        <v>2</v>
      </c>
      <c r="AF125" s="4">
        <f t="shared" si="99"/>
        <v>2.5</v>
      </c>
      <c r="AG125" s="4">
        <f t="shared" si="91"/>
        <v>5.75</v>
      </c>
      <c r="AH125" s="4">
        <f>VLOOKUP((S125+T125+U125)/3,FireControl,2)</f>
        <v>1.07</v>
      </c>
      <c r="AI125" s="4">
        <f t="shared" si="101"/>
        <v>1.55</v>
      </c>
      <c r="AJ125" s="4">
        <f t="shared" si="102"/>
        <v>1.1</v>
      </c>
      <c r="AK125" s="4">
        <f t="shared" si="103"/>
        <v>1.1</v>
      </c>
      <c r="AL125" s="4">
        <f t="shared" si="104"/>
        <v>1</v>
      </c>
      <c r="AM125" s="5">
        <v>1</v>
      </c>
      <c r="AO125" s="4">
        <f t="shared" si="105"/>
        <v>12.039013750000004</v>
      </c>
    </row>
    <row r="126" spans="1:41" ht="12.75">
      <c r="A126" s="8" t="s">
        <v>202</v>
      </c>
      <c r="B126" s="12" t="s">
        <v>201</v>
      </c>
      <c r="C126" s="9">
        <f t="shared" si="92"/>
        <v>13.358400000000001</v>
      </c>
      <c r="D126" s="17" t="s">
        <v>186</v>
      </c>
      <c r="E126" s="3" t="s">
        <v>12</v>
      </c>
      <c r="F126" s="7">
        <v>-1</v>
      </c>
      <c r="G126" s="3" t="s">
        <v>3</v>
      </c>
      <c r="H126" s="3"/>
      <c r="I126" s="3"/>
      <c r="J126" s="3"/>
      <c r="K126" s="3"/>
      <c r="L126" s="3" t="s">
        <v>2</v>
      </c>
      <c r="M126" s="3"/>
      <c r="N126" s="10" t="str">
        <f t="shared" si="93"/>
        <v>1/4</v>
      </c>
      <c r="O126" s="10">
        <v>5</v>
      </c>
      <c r="P126" s="10">
        <v>2</v>
      </c>
      <c r="Q126" s="10">
        <v>-10</v>
      </c>
      <c r="R126" s="10">
        <v>-26</v>
      </c>
      <c r="S126" s="9">
        <f t="shared" si="94"/>
        <v>0</v>
      </c>
      <c r="T126" s="9">
        <f t="shared" si="95"/>
        <v>2</v>
      </c>
      <c r="U126" s="9">
        <f t="shared" si="96"/>
        <v>3</v>
      </c>
      <c r="V126" s="9">
        <f t="shared" si="75"/>
        <v>-8</v>
      </c>
      <c r="W126" s="7">
        <v>240</v>
      </c>
      <c r="X126" s="4" t="s">
        <v>21</v>
      </c>
      <c r="Y126" s="8" t="s">
        <v>198</v>
      </c>
      <c r="Z126" s="3" t="s">
        <v>972</v>
      </c>
      <c r="AA126" s="26"/>
      <c r="AB126" s="5">
        <v>5</v>
      </c>
      <c r="AC126" s="7">
        <f>AB126</f>
        <v>5</v>
      </c>
      <c r="AD126" s="6">
        <f t="shared" si="98"/>
        <v>1</v>
      </c>
      <c r="AE126" s="5">
        <v>2</v>
      </c>
      <c r="AF126" s="4">
        <f t="shared" si="99"/>
        <v>2.5</v>
      </c>
      <c r="AG126" s="4">
        <f t="shared" si="91"/>
        <v>5.75</v>
      </c>
      <c r="AH126" s="4">
        <f>VLOOKUP((S126+T126+U126)/3,FireControl,2)</f>
        <v>1.07</v>
      </c>
      <c r="AI126" s="4">
        <f t="shared" si="101"/>
        <v>1.55</v>
      </c>
      <c r="AJ126" s="4">
        <f t="shared" si="102"/>
        <v>1.2</v>
      </c>
      <c r="AK126" s="4">
        <f t="shared" si="103"/>
        <v>1.1</v>
      </c>
      <c r="AL126" s="4">
        <f t="shared" si="104"/>
        <v>1</v>
      </c>
      <c r="AM126" s="5">
        <v>1</v>
      </c>
      <c r="AO126" s="4">
        <f t="shared" si="105"/>
        <v>13.088015000000002</v>
      </c>
    </row>
    <row r="127" spans="1:41" ht="12.75">
      <c r="A127" s="8" t="s">
        <v>200</v>
      </c>
      <c r="B127" s="12" t="s">
        <v>199</v>
      </c>
      <c r="C127" s="9">
        <f t="shared" si="92"/>
        <v>10.0188</v>
      </c>
      <c r="D127" s="17" t="s">
        <v>186</v>
      </c>
      <c r="E127" s="3" t="s">
        <v>12</v>
      </c>
      <c r="F127" s="7">
        <v>-1</v>
      </c>
      <c r="G127" s="3" t="s">
        <v>3</v>
      </c>
      <c r="H127" s="3"/>
      <c r="I127" s="3"/>
      <c r="J127" s="3"/>
      <c r="K127" s="3"/>
      <c r="L127" s="3" t="s">
        <v>2</v>
      </c>
      <c r="M127" s="3"/>
      <c r="N127" s="10" t="str">
        <f t="shared" si="93"/>
        <v>1/4</v>
      </c>
      <c r="O127" s="10">
        <v>5</v>
      </c>
      <c r="P127" s="10">
        <v>2</v>
      </c>
      <c r="Q127" s="10">
        <v>-10</v>
      </c>
      <c r="R127" s="10">
        <v>-26</v>
      </c>
      <c r="S127" s="9">
        <f t="shared" si="94"/>
        <v>0</v>
      </c>
      <c r="T127" s="9">
        <f t="shared" si="95"/>
        <v>2</v>
      </c>
      <c r="U127" s="9">
        <f t="shared" si="96"/>
        <v>3</v>
      </c>
      <c r="V127" s="9">
        <f t="shared" si="75"/>
        <v>-8</v>
      </c>
      <c r="W127" s="7">
        <v>60</v>
      </c>
      <c r="X127" s="4" t="s">
        <v>21</v>
      </c>
      <c r="Y127" s="8" t="s">
        <v>198</v>
      </c>
      <c r="Z127" s="3" t="s">
        <v>972</v>
      </c>
      <c r="AA127" s="26"/>
      <c r="AB127" s="5">
        <v>5</v>
      </c>
      <c r="AC127" s="7">
        <f>AB127</f>
        <v>5</v>
      </c>
      <c r="AD127" s="6">
        <f t="shared" si="98"/>
        <v>1</v>
      </c>
      <c r="AE127" s="5">
        <v>2</v>
      </c>
      <c r="AF127" s="4">
        <f t="shared" si="99"/>
        <v>2.5</v>
      </c>
      <c r="AG127" s="4">
        <f t="shared" si="91"/>
        <v>5.75</v>
      </c>
      <c r="AH127" s="4">
        <f>VLOOKUP((S127+T127+U127)/3,FireControl,2)</f>
        <v>1.07</v>
      </c>
      <c r="AI127" s="4">
        <f t="shared" si="101"/>
        <v>1.55</v>
      </c>
      <c r="AJ127" s="4">
        <f t="shared" si="102"/>
        <v>0.9</v>
      </c>
      <c r="AK127" s="4">
        <f t="shared" si="103"/>
        <v>1.1</v>
      </c>
      <c r="AL127" s="4">
        <f t="shared" si="104"/>
        <v>1</v>
      </c>
      <c r="AM127" s="5">
        <v>1</v>
      </c>
      <c r="AO127" s="4">
        <f t="shared" si="105"/>
        <v>9.941011250000003</v>
      </c>
    </row>
    <row r="128" spans="1:41" ht="12.75">
      <c r="A128" s="17" t="s">
        <v>197</v>
      </c>
      <c r="B128" s="12" t="s">
        <v>196</v>
      </c>
      <c r="C128" s="9">
        <f t="shared" si="92"/>
        <v>16.171650000000003</v>
      </c>
      <c r="D128" s="17" t="s">
        <v>186</v>
      </c>
      <c r="E128" s="3" t="s">
        <v>8</v>
      </c>
      <c r="F128" s="7">
        <v>-1</v>
      </c>
      <c r="G128" s="3" t="s">
        <v>3</v>
      </c>
      <c r="H128" s="3"/>
      <c r="I128" s="3"/>
      <c r="J128" s="3"/>
      <c r="K128" s="3" t="s">
        <v>2</v>
      </c>
      <c r="L128" s="3"/>
      <c r="M128" s="3"/>
      <c r="N128" s="10" t="str">
        <f t="shared" si="93"/>
        <v>1/4</v>
      </c>
      <c r="O128" s="10">
        <v>8</v>
      </c>
      <c r="P128" s="10">
        <v>-2</v>
      </c>
      <c r="Q128" s="10">
        <v>-17</v>
      </c>
      <c r="R128" s="10">
        <v>-40</v>
      </c>
      <c r="S128" s="9">
        <f t="shared" si="94"/>
        <v>0</v>
      </c>
      <c r="T128" s="9">
        <f t="shared" si="95"/>
        <v>3</v>
      </c>
      <c r="U128" s="9">
        <f t="shared" si="96"/>
        <v>5</v>
      </c>
      <c r="V128" s="9">
        <f t="shared" si="75"/>
        <v>-13</v>
      </c>
      <c r="W128" s="7">
        <v>120</v>
      </c>
      <c r="X128" s="4" t="s">
        <v>21</v>
      </c>
      <c r="Y128" s="8" t="s">
        <v>195</v>
      </c>
      <c r="Z128" s="3" t="str">
        <f>Y128</f>
        <v>9 </v>
      </c>
      <c r="AB128" s="5">
        <v>9</v>
      </c>
      <c r="AC128" s="7">
        <f t="shared" si="97"/>
        <v>9.9</v>
      </c>
      <c r="AD128" s="6">
        <f t="shared" si="98"/>
        <v>1</v>
      </c>
      <c r="AE128" s="5">
        <v>2</v>
      </c>
      <c r="AF128" s="4">
        <f t="shared" si="99"/>
        <v>4.5</v>
      </c>
      <c r="AG128" s="4">
        <f t="shared" si="91"/>
        <v>9.9</v>
      </c>
      <c r="AH128" s="4">
        <f>VLOOKUP(U128,FireControl,2)</f>
        <v>1.4</v>
      </c>
      <c r="AI128" s="4">
        <f t="shared" si="101"/>
        <v>1.55</v>
      </c>
      <c r="AJ128" s="4">
        <f t="shared" si="102"/>
        <v>1</v>
      </c>
      <c r="AK128" s="4">
        <f t="shared" si="103"/>
        <v>1.1</v>
      </c>
      <c r="AL128" s="4">
        <f t="shared" si="104"/>
        <v>1</v>
      </c>
      <c r="AM128" s="5">
        <v>1</v>
      </c>
      <c r="AO128" s="4">
        <f t="shared" si="105"/>
        <v>24.131300000000003</v>
      </c>
    </row>
    <row r="129" spans="2:41" ht="12.75">
      <c r="B129" s="12"/>
      <c r="C129" s="9" t="e">
        <f t="shared" si="92"/>
        <v>#DIV/0!</v>
      </c>
      <c r="E129" s="3"/>
      <c r="F129" s="7"/>
      <c r="G129" s="5"/>
      <c r="H129" s="5"/>
      <c r="I129" s="5"/>
      <c r="J129" s="5"/>
      <c r="K129" s="5"/>
      <c r="L129" s="5"/>
      <c r="M129" s="5"/>
      <c r="N129" s="10"/>
      <c r="O129" s="10"/>
      <c r="P129" s="10"/>
      <c r="Q129" s="10"/>
      <c r="R129" s="10"/>
      <c r="S129" s="9"/>
      <c r="T129" s="9"/>
      <c r="U129" s="9"/>
      <c r="V129" s="9">
        <f t="shared" si="75"/>
        <v>0</v>
      </c>
      <c r="W129" s="7"/>
      <c r="X129" s="4"/>
      <c r="Y129" s="8" t="s">
        <v>194</v>
      </c>
      <c r="Z129" s="3" t="str">
        <f>Y129</f>
        <v>12</v>
      </c>
      <c r="AA129" s="26" t="s">
        <v>193</v>
      </c>
      <c r="AB129" s="5">
        <v>12</v>
      </c>
      <c r="AC129" s="7">
        <f t="shared" si="97"/>
        <v>13.200000000000001</v>
      </c>
      <c r="AD129" s="6"/>
      <c r="AE129" s="5"/>
      <c r="AF129" s="4"/>
      <c r="AG129" s="4" t="e">
        <f t="shared" si="91"/>
        <v>#DIV/0!</v>
      </c>
      <c r="AH129" s="4"/>
      <c r="AI129" s="4"/>
      <c r="AJ129" s="7"/>
      <c r="AK129" s="4"/>
      <c r="AL129" s="4"/>
      <c r="AO129" s="4"/>
    </row>
    <row r="130" spans="2:41" ht="12.75">
      <c r="B130" s="12"/>
      <c r="C130" s="9" t="e">
        <f t="shared" si="92"/>
        <v>#DIV/0!</v>
      </c>
      <c r="E130" s="3"/>
      <c r="F130" s="7"/>
      <c r="G130" s="5"/>
      <c r="H130" s="5"/>
      <c r="I130" s="5"/>
      <c r="J130" s="5"/>
      <c r="K130" s="5"/>
      <c r="L130" s="5"/>
      <c r="M130" s="5"/>
      <c r="N130" s="10"/>
      <c r="O130" s="10"/>
      <c r="P130" s="10"/>
      <c r="Q130" s="10"/>
      <c r="R130" s="10"/>
      <c r="S130" s="9"/>
      <c r="T130" s="9"/>
      <c r="U130" s="9"/>
      <c r="V130" s="9">
        <f t="shared" si="75"/>
        <v>0</v>
      </c>
      <c r="W130" s="7"/>
      <c r="X130" s="4"/>
      <c r="Y130" s="8" t="s">
        <v>117</v>
      </c>
      <c r="Z130" s="3" t="str">
        <f>Y130</f>
        <v>15</v>
      </c>
      <c r="AA130" s="26" t="s">
        <v>192</v>
      </c>
      <c r="AB130" s="5">
        <v>15</v>
      </c>
      <c r="AC130" s="7">
        <f t="shared" si="97"/>
        <v>16.5</v>
      </c>
      <c r="AD130" s="6"/>
      <c r="AE130" s="5"/>
      <c r="AF130" s="4"/>
      <c r="AG130" s="4" t="e">
        <f t="shared" si="91"/>
        <v>#DIV/0!</v>
      </c>
      <c r="AH130" s="4"/>
      <c r="AI130" s="4"/>
      <c r="AJ130" s="7"/>
      <c r="AK130" s="4"/>
      <c r="AL130" s="4"/>
      <c r="AO130" s="4"/>
    </row>
    <row r="131" spans="1:41" ht="12.75">
      <c r="A131" s="17" t="s">
        <v>191</v>
      </c>
      <c r="B131" s="12" t="s">
        <v>190</v>
      </c>
      <c r="C131" s="9">
        <f t="shared" si="92"/>
        <v>31.428571428571434</v>
      </c>
      <c r="D131" s="17" t="s">
        <v>186</v>
      </c>
      <c r="E131" s="3" t="s">
        <v>12</v>
      </c>
      <c r="F131" s="7">
        <v>0</v>
      </c>
      <c r="G131" s="3" t="s">
        <v>11</v>
      </c>
      <c r="H131" s="3"/>
      <c r="I131" s="3"/>
      <c r="J131" s="3"/>
      <c r="K131" s="3"/>
      <c r="L131" s="3"/>
      <c r="M131" s="3"/>
      <c r="N131" s="10" t="str">
        <f>VLOOKUP(D131,Weapon_range,(VLOOKUP(E131,weapon_size_col,2,FALSE)),FALSE)</f>
        <v>1/4</v>
      </c>
      <c r="O131" s="10"/>
      <c r="P131" s="10"/>
      <c r="Q131" s="10"/>
      <c r="R131" s="10"/>
      <c r="S131" s="9">
        <f>VLOOKUP($D131,Weapon_mode,2,FALSE)+VLOOKUP($E131,Weapon_size,2,FALSE)</f>
        <v>0</v>
      </c>
      <c r="T131" s="9">
        <f>VLOOKUP($D131,Weapon_mode,3,FALSE)++VLOOKUP($E131,Weapon_size,3,FALSE)</f>
        <v>2</v>
      </c>
      <c r="U131" s="9">
        <f>VLOOKUP($D131,Weapon_mode,4,FALSE)+VLOOKUP($E131,Weapon_size,4,FALSE)</f>
        <v>3</v>
      </c>
      <c r="V131" s="9">
        <f t="shared" si="75"/>
        <v>0</v>
      </c>
      <c r="W131" s="7">
        <v>120</v>
      </c>
      <c r="X131" s="4" t="s">
        <v>21</v>
      </c>
      <c r="Y131" s="8" t="s">
        <v>189</v>
      </c>
      <c r="Z131" s="3" t="str">
        <f>Y131</f>
        <v>move d6 hexes</v>
      </c>
      <c r="AB131" s="5"/>
      <c r="AC131" s="7">
        <v>20</v>
      </c>
      <c r="AD131" s="6">
        <f>VLOOKUP(G131,RoF,2,FALSE)</f>
        <v>1.4</v>
      </c>
      <c r="AE131" s="5"/>
      <c r="AF131" s="4" t="s">
        <v>124</v>
      </c>
      <c r="AG131" s="4">
        <f t="shared" si="91"/>
        <v>14.285714285714286</v>
      </c>
      <c r="AH131" s="4">
        <f>VLOOKUP(S131,FireControl,2)</f>
        <v>1</v>
      </c>
      <c r="AI131" s="4">
        <f>VLOOKUP(N131,Range,2,FALSE)</f>
        <v>1.55</v>
      </c>
      <c r="AJ131" s="4">
        <f>VLOOKUP(W131,Arc,2,FALSE)</f>
        <v>1</v>
      </c>
      <c r="AK131" s="4">
        <f>VLOOKUP(X131,Interceptable,2,FALSE)</f>
        <v>1.1</v>
      </c>
      <c r="AL131" s="4">
        <f>VLOOKUP(F131,Interceptability,2,FALSE)</f>
        <v>0</v>
      </c>
      <c r="AM131" s="5">
        <v>1</v>
      </c>
      <c r="AO131" s="4">
        <f>MAX(AG131*AH131*AI131*AJ131*AK131*AM131,AL131)+MIN(AG131*AH131*AI131*AJ131*AK131,AL131)/2</f>
        <v>24.35714285714286</v>
      </c>
    </row>
    <row r="132" spans="1:41" ht="12.75">
      <c r="A132" s="17" t="s">
        <v>188</v>
      </c>
      <c r="B132" s="12" t="s">
        <v>187</v>
      </c>
      <c r="C132" s="9" t="e">
        <f t="shared" si="92"/>
        <v>#DIV/0!</v>
      </c>
      <c r="D132" s="17" t="s">
        <v>186</v>
      </c>
      <c r="E132" s="3" t="s">
        <v>12</v>
      </c>
      <c r="F132" s="7"/>
      <c r="G132" s="5"/>
      <c r="H132" s="5"/>
      <c r="I132" s="5"/>
      <c r="J132" s="5"/>
      <c r="K132" s="5"/>
      <c r="L132" s="5"/>
      <c r="M132" s="5"/>
      <c r="N132" s="10" t="str">
        <f>VLOOKUP(D132,Weapon_range,(VLOOKUP(E132,weapon_size_col,2,FALSE)),FALSE)</f>
        <v>1/4</v>
      </c>
      <c r="O132" s="10"/>
      <c r="P132" s="10"/>
      <c r="Q132" s="10"/>
      <c r="R132" s="10"/>
      <c r="S132" s="9">
        <f>VLOOKUP($D132,Weapon_mode,2,FALSE)+VLOOKUP($E132,Weapon_size,2,FALSE)</f>
        <v>0</v>
      </c>
      <c r="T132" s="9">
        <f>VLOOKUP($D132,Weapon_mode,3,FALSE)++VLOOKUP($E132,Weapon_size,3,FALSE)</f>
        <v>2</v>
      </c>
      <c r="U132" s="9">
        <f>VLOOKUP($D132,Weapon_mode,4,FALSE)+VLOOKUP($E132,Weapon_size,4,FALSE)</f>
        <v>3</v>
      </c>
      <c r="V132" s="9">
        <f t="shared" si="75"/>
        <v>0</v>
      </c>
      <c r="W132" s="7">
        <v>120</v>
      </c>
      <c r="X132" s="4" t="s">
        <v>21</v>
      </c>
      <c r="Y132" s="14"/>
      <c r="Z132" s="5"/>
      <c r="AB132" s="5"/>
      <c r="AC132" s="7"/>
      <c r="AD132" s="6"/>
      <c r="AE132" s="5"/>
      <c r="AF132" s="4"/>
      <c r="AG132" s="4" t="e">
        <f t="shared" si="91"/>
        <v>#DIV/0!</v>
      </c>
      <c r="AH132" s="4"/>
      <c r="AI132" s="4"/>
      <c r="AJ132" s="4">
        <f>VLOOKUP(W132,Arc,2,FALSE)</f>
        <v>1</v>
      </c>
      <c r="AK132" s="4">
        <f>VLOOKUP(X132,Interceptable,2,FALSE)</f>
        <v>1.1</v>
      </c>
      <c r="AL132" s="4"/>
      <c r="AM132" s="5">
        <v>1</v>
      </c>
      <c r="AO132" s="4" t="e">
        <f>MAX(AG132*AH132*AI132*AJ132*AK132*AM132,AL132)+MIN(AG132*AH132*AI132*AJ132*AK132,AL132)/2</f>
        <v>#DIV/0!</v>
      </c>
    </row>
    <row r="133" spans="1:41" ht="12.75">
      <c r="A133" s="17"/>
      <c r="B133" s="23" t="s">
        <v>185</v>
      </c>
      <c r="C133" s="9" t="e">
        <f t="shared" si="92"/>
        <v>#DIV/0!</v>
      </c>
      <c r="E133" s="3"/>
      <c r="F133" s="7"/>
      <c r="G133" s="5"/>
      <c r="H133" s="5"/>
      <c r="I133" s="5"/>
      <c r="J133" s="5"/>
      <c r="K133" s="5"/>
      <c r="L133" s="5"/>
      <c r="M133" s="5"/>
      <c r="N133" s="10"/>
      <c r="O133" s="10"/>
      <c r="P133" s="10"/>
      <c r="Q133" s="10"/>
      <c r="R133" s="10"/>
      <c r="S133" s="9"/>
      <c r="T133" s="9"/>
      <c r="U133" s="9"/>
      <c r="V133" s="9">
        <f t="shared" si="75"/>
        <v>0</v>
      </c>
      <c r="W133" s="7"/>
      <c r="X133" s="4"/>
      <c r="Y133" s="14"/>
      <c r="Z133" s="5"/>
      <c r="AB133" s="5"/>
      <c r="AC133" s="7"/>
      <c r="AD133" s="6"/>
      <c r="AE133" s="5"/>
      <c r="AF133" s="4"/>
      <c r="AG133" s="4" t="e">
        <f t="shared" si="91"/>
        <v>#DIV/0!</v>
      </c>
      <c r="AH133" s="4"/>
      <c r="AI133" s="4"/>
      <c r="AJ133" s="7"/>
      <c r="AK133" s="4"/>
      <c r="AL133" s="4"/>
      <c r="AO133" s="4"/>
    </row>
    <row r="134" spans="1:41" ht="12.75">
      <c r="A134" s="15" t="s">
        <v>56</v>
      </c>
      <c r="B134" s="12"/>
      <c r="C134" s="9" t="e">
        <f t="shared" si="92"/>
        <v>#DIV/0!</v>
      </c>
      <c r="E134" s="3"/>
      <c r="F134" s="7"/>
      <c r="G134" s="5"/>
      <c r="H134" s="5"/>
      <c r="I134" s="5"/>
      <c r="J134" s="5"/>
      <c r="K134" s="5"/>
      <c r="L134" s="5"/>
      <c r="M134" s="5"/>
      <c r="N134" s="10"/>
      <c r="O134" s="10"/>
      <c r="P134" s="10"/>
      <c r="Q134" s="10"/>
      <c r="R134" s="10"/>
      <c r="S134" s="9"/>
      <c r="T134" s="9"/>
      <c r="U134" s="9"/>
      <c r="V134" s="9">
        <f t="shared" si="75"/>
        <v>0</v>
      </c>
      <c r="W134" s="7"/>
      <c r="X134" s="4"/>
      <c r="Y134" s="14"/>
      <c r="Z134" s="5"/>
      <c r="AB134" s="5"/>
      <c r="AC134" s="7"/>
      <c r="AD134" s="6"/>
      <c r="AE134" s="5"/>
      <c r="AF134" s="4"/>
      <c r="AG134" s="4" t="e">
        <f t="shared" si="91"/>
        <v>#DIV/0!</v>
      </c>
      <c r="AH134" s="4"/>
      <c r="AI134" s="4"/>
      <c r="AJ134" s="7"/>
      <c r="AK134" s="4"/>
      <c r="AL134" s="4"/>
      <c r="AO134" s="4"/>
    </row>
    <row r="135" spans="1:41" ht="12.75">
      <c r="A135" s="17" t="s">
        <v>183</v>
      </c>
      <c r="B135" s="12" t="s">
        <v>184</v>
      </c>
      <c r="C135" s="9">
        <f t="shared" si="92"/>
        <v>26.622754491017965</v>
      </c>
      <c r="D135" s="17" t="s">
        <v>56</v>
      </c>
      <c r="E135" s="3" t="s">
        <v>12</v>
      </c>
      <c r="F135" s="7">
        <v>0</v>
      </c>
      <c r="G135" s="3" t="s">
        <v>15</v>
      </c>
      <c r="H135" s="3"/>
      <c r="I135" s="3"/>
      <c r="J135" s="3"/>
      <c r="K135" s="3"/>
      <c r="L135" s="3"/>
      <c r="M135" s="3" t="s">
        <v>2</v>
      </c>
      <c r="N135" s="10" t="str">
        <f>VLOOKUP(D135,Weapon_range,(VLOOKUP(E135,weapon_size_col,2,FALSE)),FALSE)</f>
        <v>3/2</v>
      </c>
      <c r="O135" s="10"/>
      <c r="P135" s="10"/>
      <c r="Q135" s="10"/>
      <c r="R135" s="10"/>
      <c r="S135" s="9">
        <f>VLOOKUP($D135,Weapon_mode,2,FALSE)+VLOOKUP($E135,Weapon_size,2,FALSE)</f>
        <v>-2</v>
      </c>
      <c r="T135" s="9">
        <f>VLOOKUP($D135,Weapon_mode,3,FALSE)++VLOOKUP($E135,Weapon_size,3,FALSE)</f>
        <v>-2</v>
      </c>
      <c r="U135" s="9">
        <f>VLOOKUP($D135,Weapon_mode,4,FALSE)+VLOOKUP($E135,Weapon_size,4,FALSE)</f>
        <v>-3</v>
      </c>
      <c r="V135" s="9">
        <f t="shared" si="75"/>
        <v>0</v>
      </c>
      <c r="W135" s="7">
        <v>120</v>
      </c>
      <c r="X135" s="4" t="s">
        <v>2</v>
      </c>
      <c r="Y135" s="8" t="s">
        <v>181</v>
      </c>
      <c r="Z135" s="3" t="str">
        <f>Y135</f>
        <v>4X+2</v>
      </c>
      <c r="AB135" s="5">
        <v>30</v>
      </c>
      <c r="AC135" s="7">
        <f>AB135-4</f>
        <v>26</v>
      </c>
      <c r="AD135" s="6">
        <f>VLOOKUP(G135,RoF,2,FALSE)</f>
        <v>1.67</v>
      </c>
      <c r="AE135" s="5">
        <v>5</v>
      </c>
      <c r="AF135" s="4">
        <f>AB135/(AD135*AE135)</f>
        <v>3.5928143712574854</v>
      </c>
      <c r="AG135" s="4">
        <f t="shared" si="91"/>
        <v>14.790419161676647</v>
      </c>
      <c r="AH135" s="4">
        <f>VLOOKUP(S135,FireControl,2)</f>
        <v>0.87</v>
      </c>
      <c r="AI135" s="4">
        <f>VLOOKUP(N135,Range,2,FALSE)</f>
        <v>0.8</v>
      </c>
      <c r="AJ135" s="4">
        <f>VLOOKUP(W135,Arc,2,FALSE)</f>
        <v>1</v>
      </c>
      <c r="AK135" s="4">
        <f>VLOOKUP(X135,Interceptable,2,FALSE)</f>
        <v>0.9</v>
      </c>
      <c r="AL135" s="4">
        <f>VLOOKUP(F135,Interceptability,2,FALSE)</f>
        <v>0</v>
      </c>
      <c r="AM135" s="5">
        <v>1</v>
      </c>
      <c r="AO135" s="4">
        <f>MAX(AG135*AH135*AI135*AJ135*AK135*AM135,AL135)+MIN(AG135*AH135*AI135*AJ135*AK135,AL135)/2</f>
        <v>9.264718562874254</v>
      </c>
    </row>
    <row r="136" spans="1:41" ht="12.75">
      <c r="A136" s="17" t="s">
        <v>183</v>
      </c>
      <c r="B136" s="12" t="s">
        <v>182</v>
      </c>
      <c r="C136" s="9">
        <f t="shared" si="92"/>
        <v>34.60958083832335</v>
      </c>
      <c r="D136" s="17" t="s">
        <v>56</v>
      </c>
      <c r="E136" s="3" t="s">
        <v>12</v>
      </c>
      <c r="F136" s="7">
        <v>0</v>
      </c>
      <c r="G136" s="3" t="s">
        <v>15</v>
      </c>
      <c r="H136" s="3"/>
      <c r="I136" s="3"/>
      <c r="J136" s="3"/>
      <c r="K136" s="3"/>
      <c r="L136" s="3"/>
      <c r="M136" s="3" t="s">
        <v>2</v>
      </c>
      <c r="N136" s="10" t="str">
        <f>VLOOKUP(D136,Weapon_range,(VLOOKUP(E136,weapon_size_col,2,FALSE)),FALSE)</f>
        <v>3/2</v>
      </c>
      <c r="O136" s="10"/>
      <c r="P136" s="10"/>
      <c r="Q136" s="10"/>
      <c r="R136" s="10"/>
      <c r="S136" s="9">
        <f>VLOOKUP($D136,Weapon_mode,2,FALSE)+VLOOKUP($E136,Weapon_size,2,FALSE)</f>
        <v>-2</v>
      </c>
      <c r="T136" s="9">
        <f>VLOOKUP($D136,Weapon_mode,3,FALSE)++VLOOKUP($E136,Weapon_size,3,FALSE)</f>
        <v>-2</v>
      </c>
      <c r="U136" s="9">
        <f>VLOOKUP($D136,Weapon_mode,4,FALSE)+VLOOKUP($E136,Weapon_size,4,FALSE)</f>
        <v>-3</v>
      </c>
      <c r="V136" s="9">
        <f aca="true" t="shared" si="106" ref="V136:V200">ROUND(O136/3+P136/2+IF(Q136&gt;-20,Q136,-20)/2+IF(R136&gt;-20,R136,-20)/3.5,0)</f>
        <v>0</v>
      </c>
      <c r="W136" s="7">
        <v>360</v>
      </c>
      <c r="X136" s="4" t="s">
        <v>2</v>
      </c>
      <c r="Y136" s="8" t="s">
        <v>181</v>
      </c>
      <c r="Z136" s="3" t="str">
        <f>Y136</f>
        <v>4X+2</v>
      </c>
      <c r="AB136" s="5">
        <v>30</v>
      </c>
      <c r="AC136" s="7">
        <f>AB136-4</f>
        <v>26</v>
      </c>
      <c r="AD136" s="6">
        <f>VLOOKUP(G136,RoF,2,FALSE)</f>
        <v>1.67</v>
      </c>
      <c r="AE136" s="5">
        <v>5</v>
      </c>
      <c r="AF136" s="4">
        <f>AB136/(AD136*AE136)</f>
        <v>3.5928143712574854</v>
      </c>
      <c r="AG136" s="4">
        <f t="shared" si="91"/>
        <v>14.790419161676647</v>
      </c>
      <c r="AH136" s="4">
        <f>VLOOKUP(S136,FireControl,2)</f>
        <v>0.87</v>
      </c>
      <c r="AI136" s="4">
        <f>VLOOKUP(N136,Range,2,FALSE)</f>
        <v>0.8</v>
      </c>
      <c r="AJ136" s="4">
        <f>VLOOKUP(W136,Arc,2,FALSE)</f>
        <v>1.3</v>
      </c>
      <c r="AK136" s="4">
        <f>VLOOKUP(X136,Interceptable,2,FALSE)</f>
        <v>0.9</v>
      </c>
      <c r="AL136" s="4">
        <f>VLOOKUP(F136,Interceptability,2,FALSE)</f>
        <v>0</v>
      </c>
      <c r="AM136" s="5">
        <v>1</v>
      </c>
      <c r="AO136" s="4">
        <f>MAX(AG136*AH136*AI136*AJ136*AK136*AM136,AL136)+MIN(AG136*AH136*AI136*AJ136*AK136,AL136)/2</f>
        <v>12.04413413173653</v>
      </c>
    </row>
    <row r="137" spans="1:41" ht="12.75">
      <c r="A137" s="17" t="s">
        <v>180</v>
      </c>
      <c r="B137" s="12" t="s">
        <v>179</v>
      </c>
      <c r="C137" s="9">
        <f t="shared" si="92"/>
        <v>41.10179640718564</v>
      </c>
      <c r="D137" s="17" t="s">
        <v>56</v>
      </c>
      <c r="E137" s="3" t="s">
        <v>16</v>
      </c>
      <c r="F137" s="7">
        <v>0</v>
      </c>
      <c r="G137" s="3" t="s">
        <v>15</v>
      </c>
      <c r="H137" s="3"/>
      <c r="I137" s="3"/>
      <c r="J137" s="3"/>
      <c r="K137" s="3" t="s">
        <v>2</v>
      </c>
      <c r="L137" s="3"/>
      <c r="M137" s="3"/>
      <c r="N137" s="10" t="str">
        <f>VLOOKUP(D137,Weapon_range,(VLOOKUP(E137,weapon_size_col,2,FALSE)),FALSE)</f>
        <v>1/1</v>
      </c>
      <c r="O137" s="10"/>
      <c r="P137" s="10"/>
      <c r="Q137" s="10"/>
      <c r="R137" s="10"/>
      <c r="S137" s="9">
        <f>VLOOKUP($D137,Weapon_mode,2,FALSE)+VLOOKUP($E137,Weapon_size,2,FALSE)</f>
        <v>-1</v>
      </c>
      <c r="T137" s="9">
        <f>VLOOKUP($D137,Weapon_mode,3,FALSE)++VLOOKUP($E137,Weapon_size,3,FALSE)</f>
        <v>-2</v>
      </c>
      <c r="U137" s="9">
        <f>VLOOKUP($D137,Weapon_mode,4,FALSE)+VLOOKUP($E137,Weapon_size,4,FALSE)</f>
        <v>-4</v>
      </c>
      <c r="V137" s="9">
        <f t="shared" si="106"/>
        <v>0</v>
      </c>
      <c r="W137" s="7">
        <v>360</v>
      </c>
      <c r="X137" s="4" t="s">
        <v>21</v>
      </c>
      <c r="Y137" s="8" t="s">
        <v>178</v>
      </c>
      <c r="Z137" s="3" t="str">
        <f>Y137</f>
        <v>2x+6 (max 10)</v>
      </c>
      <c r="AA137" s="5" t="s">
        <v>162</v>
      </c>
      <c r="AB137" s="5">
        <v>32</v>
      </c>
      <c r="AC137" s="7">
        <f>AB137-8</f>
        <v>24</v>
      </c>
      <c r="AD137" s="6">
        <f>VLOOKUP(G137,RoF,2,FALSE)</f>
        <v>1.67</v>
      </c>
      <c r="AE137" s="5">
        <v>8</v>
      </c>
      <c r="AF137" s="4">
        <f>AB137/(AD137*AE137)</f>
        <v>2.3952095808383236</v>
      </c>
      <c r="AG137" s="4">
        <f t="shared" si="91"/>
        <v>14.371257485029941</v>
      </c>
      <c r="AH137" s="4">
        <f>VLOOKUP(S137,FireControl,2)</f>
        <v>0.93</v>
      </c>
      <c r="AI137" s="4">
        <f>VLOOKUP(N137,Range,2,FALSE)</f>
        <v>1</v>
      </c>
      <c r="AJ137" s="4">
        <f>VLOOKUP(W137,Arc,2,FALSE)</f>
        <v>1.3</v>
      </c>
      <c r="AK137" s="4">
        <f>VLOOKUP(X137,Interceptable,2,FALSE)</f>
        <v>1.1</v>
      </c>
      <c r="AL137" s="4">
        <f>VLOOKUP(F137,Interceptability,2,FALSE)</f>
        <v>0</v>
      </c>
      <c r="AM137" s="5">
        <v>1</v>
      </c>
      <c r="AO137" s="4">
        <f>MAX(AG137*AH137*AI137*AJ137*AK137*AM137,AL137)+MIN(AG137*AH137*AI137*AJ137*AK137,AL137)/2</f>
        <v>19.11233532934132</v>
      </c>
    </row>
    <row r="138" spans="1:41" ht="12.75">
      <c r="A138" s="23" t="s">
        <v>177</v>
      </c>
      <c r="B138" s="12"/>
      <c r="C138" s="9">
        <f t="shared" si="92"/>
        <v>0</v>
      </c>
      <c r="E138" s="3"/>
      <c r="F138" s="7"/>
      <c r="G138" s="5"/>
      <c r="H138" s="5"/>
      <c r="I138" s="5"/>
      <c r="J138" s="5"/>
      <c r="K138" s="5"/>
      <c r="L138" s="5"/>
      <c r="M138" s="5"/>
      <c r="N138" s="10"/>
      <c r="O138" s="10"/>
      <c r="P138" s="10"/>
      <c r="Q138" s="10"/>
      <c r="R138" s="10"/>
      <c r="S138" s="9"/>
      <c r="T138" s="9"/>
      <c r="U138" s="9"/>
      <c r="V138" s="9">
        <f t="shared" si="106"/>
        <v>0</v>
      </c>
      <c r="W138" s="7"/>
      <c r="X138" s="4"/>
      <c r="Y138" s="14"/>
      <c r="Z138" s="5"/>
      <c r="AB138" s="5"/>
      <c r="AC138" s="7"/>
      <c r="AD138" s="6"/>
      <c r="AE138" s="5"/>
      <c r="AF138" s="4"/>
      <c r="AG138" s="4"/>
      <c r="AH138" s="4"/>
      <c r="AI138" s="4"/>
      <c r="AJ138" s="7"/>
      <c r="AK138" s="4"/>
      <c r="AL138" s="4"/>
      <c r="AO138" s="4"/>
    </row>
    <row r="139" spans="1:41" ht="12.75">
      <c r="A139" s="23" t="s">
        <v>176</v>
      </c>
      <c r="B139" s="12"/>
      <c r="C139" s="9">
        <f t="shared" si="92"/>
        <v>0</v>
      </c>
      <c r="E139" s="3"/>
      <c r="F139" s="7"/>
      <c r="G139" s="5"/>
      <c r="H139" s="5"/>
      <c r="I139" s="5"/>
      <c r="J139" s="5"/>
      <c r="K139" s="5"/>
      <c r="L139" s="5"/>
      <c r="M139" s="5"/>
      <c r="N139" s="10"/>
      <c r="O139" s="10"/>
      <c r="P139" s="10"/>
      <c r="Q139" s="10"/>
      <c r="R139" s="10"/>
      <c r="S139" s="9"/>
      <c r="T139" s="9"/>
      <c r="U139" s="9"/>
      <c r="V139" s="9">
        <f t="shared" si="106"/>
        <v>0</v>
      </c>
      <c r="W139" s="7"/>
      <c r="X139" s="4"/>
      <c r="Y139" s="14"/>
      <c r="Z139" s="5"/>
      <c r="AB139" s="5"/>
      <c r="AC139" s="7"/>
      <c r="AD139" s="6"/>
      <c r="AE139" s="5"/>
      <c r="AF139" s="4"/>
      <c r="AG139" s="4"/>
      <c r="AH139" s="4"/>
      <c r="AI139" s="4"/>
      <c r="AJ139" s="7"/>
      <c r="AK139" s="4"/>
      <c r="AL139" s="4"/>
      <c r="AO139" s="4"/>
    </row>
    <row r="140" spans="1:41" ht="12.75">
      <c r="A140" s="23" t="s">
        <v>175</v>
      </c>
      <c r="B140" s="12"/>
      <c r="C140" s="9">
        <f t="shared" si="92"/>
        <v>0</v>
      </c>
      <c r="E140" s="3"/>
      <c r="F140" s="7"/>
      <c r="G140" s="5"/>
      <c r="H140" s="5"/>
      <c r="I140" s="5"/>
      <c r="J140" s="5"/>
      <c r="K140" s="5"/>
      <c r="L140" s="5"/>
      <c r="M140" s="5"/>
      <c r="N140" s="10"/>
      <c r="O140" s="10"/>
      <c r="P140" s="10"/>
      <c r="Q140" s="10"/>
      <c r="R140" s="10"/>
      <c r="S140" s="9"/>
      <c r="T140" s="9"/>
      <c r="U140" s="9"/>
      <c r="V140" s="9">
        <f t="shared" si="106"/>
        <v>0</v>
      </c>
      <c r="W140" s="7"/>
      <c r="X140" s="4"/>
      <c r="Y140" s="14"/>
      <c r="Z140" s="5"/>
      <c r="AB140" s="5"/>
      <c r="AC140" s="7"/>
      <c r="AD140" s="6"/>
      <c r="AE140" s="5"/>
      <c r="AF140" s="4"/>
      <c r="AG140" s="4"/>
      <c r="AH140" s="4"/>
      <c r="AI140" s="4"/>
      <c r="AJ140" s="7"/>
      <c r="AK140" s="4"/>
      <c r="AL140" s="4"/>
      <c r="AO140" s="4"/>
    </row>
    <row r="141" spans="1:41" ht="12.75">
      <c r="A141" s="17" t="s">
        <v>173</v>
      </c>
      <c r="B141" s="12" t="s">
        <v>174</v>
      </c>
      <c r="C141" s="9">
        <f t="shared" si="92"/>
        <v>46.60943712574852</v>
      </c>
      <c r="D141" s="17" t="s">
        <v>56</v>
      </c>
      <c r="E141" s="3" t="s">
        <v>16</v>
      </c>
      <c r="F141" s="7">
        <v>-1</v>
      </c>
      <c r="G141" s="3" t="s">
        <v>15</v>
      </c>
      <c r="H141" s="3" t="s">
        <v>2</v>
      </c>
      <c r="I141" s="3" t="s">
        <v>2</v>
      </c>
      <c r="J141" s="3"/>
      <c r="K141" s="3"/>
      <c r="L141" s="3"/>
      <c r="M141" s="3"/>
      <c r="N141" s="10" t="str">
        <f>VLOOKUP(D141,Weapon_range,(VLOOKUP(E141,weapon_size_col,2,FALSE)),FALSE)</f>
        <v>1/1</v>
      </c>
      <c r="O141" s="10"/>
      <c r="P141" s="10"/>
      <c r="Q141" s="10"/>
      <c r="R141" s="10"/>
      <c r="S141" s="9">
        <f>VLOOKUP($D141,Weapon_mode,2,FALSE)+VLOOKUP($E141,Weapon_size,2,FALSE)</f>
        <v>-1</v>
      </c>
      <c r="T141" s="9">
        <f>VLOOKUP($D141,Weapon_mode,3,FALSE)++VLOOKUP($E141,Weapon_size,3,FALSE)</f>
        <v>-2</v>
      </c>
      <c r="U141" s="9">
        <f>VLOOKUP($D141,Weapon_mode,4,FALSE)+VLOOKUP($E141,Weapon_size,4,FALSE)</f>
        <v>-4</v>
      </c>
      <c r="V141" s="9">
        <f t="shared" si="106"/>
        <v>0</v>
      </c>
      <c r="W141" s="7">
        <v>360</v>
      </c>
      <c r="X141" s="4" t="s">
        <v>2</v>
      </c>
      <c r="Y141" s="8" t="s">
        <v>171</v>
      </c>
      <c r="Z141" s="3" t="str">
        <f>Y141</f>
        <v>2x+16</v>
      </c>
      <c r="AA141" s="5" t="s">
        <v>170</v>
      </c>
      <c r="AB141" s="5">
        <v>36</v>
      </c>
      <c r="AC141" s="7">
        <f>AB141-4</f>
        <v>32</v>
      </c>
      <c r="AD141" s="6">
        <f>VLOOKUP(G141,RoF,2,FALSE)</f>
        <v>1.67</v>
      </c>
      <c r="AE141" s="5">
        <v>8</v>
      </c>
      <c r="AF141" s="4">
        <f>AB141/(AD141*AE141)</f>
        <v>2.694610778443114</v>
      </c>
      <c r="AG141" s="4">
        <f>AC141/AD141*IF(H141="Y",raking,1)*IF(I141="Y",Pierce,1)*IF(J141="Y",Sustained,1)*IF(K141="Y",standard,1)*IF(L141="Y",Pulse,1)*IF(M141="Y",Flash,1)</f>
        <v>18.107784431137727</v>
      </c>
      <c r="AH141" s="4">
        <f>VLOOKUP(S141,FireControl,2)</f>
        <v>0.93</v>
      </c>
      <c r="AI141" s="4">
        <f>VLOOKUP(N141,Range,2,FALSE)</f>
        <v>1</v>
      </c>
      <c r="AJ141" s="4">
        <f>VLOOKUP(W141,Arc,2,FALSE)</f>
        <v>1.3</v>
      </c>
      <c r="AK141" s="4">
        <f>VLOOKUP(X141,Interceptable,2,FALSE)</f>
        <v>0.9</v>
      </c>
      <c r="AL141" s="4">
        <f>VLOOKUP(F141,Interceptability,2,FALSE)</f>
        <v>1</v>
      </c>
      <c r="AM141" s="5">
        <v>1</v>
      </c>
      <c r="AO141" s="4">
        <f>MAX(AG141*AH141*AI141*AJ141*AK141*AM141,AL141)+MIN(AG141*AH141*AI141*AJ141*AK141,AL141)/2</f>
        <v>20.20308023952096</v>
      </c>
    </row>
    <row r="142" spans="1:41" ht="12.75">
      <c r="A142" s="17" t="s">
        <v>173</v>
      </c>
      <c r="B142" s="12" t="s">
        <v>172</v>
      </c>
      <c r="C142" s="9">
        <f t="shared" si="92"/>
        <v>35.853413173652704</v>
      </c>
      <c r="D142" s="17" t="s">
        <v>56</v>
      </c>
      <c r="E142" s="3" t="s">
        <v>16</v>
      </c>
      <c r="F142" s="7">
        <v>-1</v>
      </c>
      <c r="G142" s="3" t="s">
        <v>15</v>
      </c>
      <c r="H142" s="3" t="s">
        <v>2</v>
      </c>
      <c r="I142" s="3" t="s">
        <v>2</v>
      </c>
      <c r="J142" s="3"/>
      <c r="K142" s="3"/>
      <c r="L142" s="3"/>
      <c r="M142" s="3"/>
      <c r="N142" s="10" t="str">
        <f>VLOOKUP(D142,Weapon_range,(VLOOKUP(E142,weapon_size_col,2,FALSE)),FALSE)</f>
        <v>1/1</v>
      </c>
      <c r="O142" s="10"/>
      <c r="P142" s="10"/>
      <c r="Q142" s="10"/>
      <c r="R142" s="10"/>
      <c r="S142" s="9">
        <f>VLOOKUP($D142,Weapon_mode,2,FALSE)+VLOOKUP($E142,Weapon_size,2,FALSE)</f>
        <v>-1</v>
      </c>
      <c r="T142" s="9">
        <f>VLOOKUP($D142,Weapon_mode,3,FALSE)++VLOOKUP($E142,Weapon_size,3,FALSE)</f>
        <v>-2</v>
      </c>
      <c r="U142" s="9">
        <f>VLOOKUP($D142,Weapon_mode,4,FALSE)+VLOOKUP($E142,Weapon_size,4,FALSE)</f>
        <v>-4</v>
      </c>
      <c r="V142" s="9">
        <f t="shared" si="106"/>
        <v>0</v>
      </c>
      <c r="W142" s="7">
        <v>120</v>
      </c>
      <c r="X142" s="4" t="s">
        <v>2</v>
      </c>
      <c r="Y142" s="8" t="s">
        <v>171</v>
      </c>
      <c r="Z142" s="3" t="str">
        <f>Y142</f>
        <v>2x+16</v>
      </c>
      <c r="AA142" s="5" t="s">
        <v>170</v>
      </c>
      <c r="AB142" s="5">
        <v>36</v>
      </c>
      <c r="AC142" s="7">
        <f>AB142-4</f>
        <v>32</v>
      </c>
      <c r="AD142" s="6">
        <f>VLOOKUP(G142,RoF,2,FALSE)</f>
        <v>1.67</v>
      </c>
      <c r="AE142" s="5">
        <v>8</v>
      </c>
      <c r="AF142" s="4">
        <f>AB142/(AD142*AE142)</f>
        <v>2.694610778443114</v>
      </c>
      <c r="AG142" s="4">
        <f>AC142/AD142*IF(H142="Y",raking,1)*IF(I142="Y",Pierce,1)*IF(J142="Y",Sustained,1)*IF(K142="Y",standard,1)*IF(L142="Y",Pulse,1)*IF(M142="Y",Flash,1)</f>
        <v>18.107784431137727</v>
      </c>
      <c r="AH142" s="4">
        <f>VLOOKUP(S142,FireControl,2)</f>
        <v>0.93</v>
      </c>
      <c r="AI142" s="4">
        <f>VLOOKUP(N142,Range,2,FALSE)</f>
        <v>1</v>
      </c>
      <c r="AJ142" s="4">
        <f>VLOOKUP(W142,Arc,2,FALSE)</f>
        <v>1</v>
      </c>
      <c r="AK142" s="4">
        <f>VLOOKUP(X142,Interceptable,2,FALSE)</f>
        <v>0.9</v>
      </c>
      <c r="AL142" s="4">
        <f>VLOOKUP(F142,Interceptability,2,FALSE)</f>
        <v>1</v>
      </c>
      <c r="AM142" s="5">
        <v>1</v>
      </c>
      <c r="AO142" s="4">
        <f>MAX(AG142*AH142*AI142*AJ142*AK142*AM142,AL142)+MIN(AG142*AH142*AI142*AJ142*AK142,AL142)/2</f>
        <v>15.656215568862278</v>
      </c>
    </row>
    <row r="143" spans="2:41" ht="12.75">
      <c r="B143" s="12"/>
      <c r="C143" s="9">
        <f t="shared" si="92"/>
        <v>0</v>
      </c>
      <c r="E143" s="3"/>
      <c r="F143" s="7"/>
      <c r="G143" s="5"/>
      <c r="H143" s="5"/>
      <c r="I143" s="5"/>
      <c r="J143" s="5"/>
      <c r="K143" s="5"/>
      <c r="L143" s="5"/>
      <c r="M143" s="5"/>
      <c r="N143" s="10"/>
      <c r="O143" s="10"/>
      <c r="P143" s="10"/>
      <c r="Q143" s="10"/>
      <c r="R143" s="10"/>
      <c r="S143" s="9"/>
      <c r="T143" s="9"/>
      <c r="U143" s="9"/>
      <c r="V143" s="9">
        <f t="shared" si="106"/>
        <v>0</v>
      </c>
      <c r="W143" s="7"/>
      <c r="X143" s="4"/>
      <c r="Y143" s="14"/>
      <c r="Z143" s="5"/>
      <c r="AB143" s="5"/>
      <c r="AC143" s="7"/>
      <c r="AD143" s="6"/>
      <c r="AE143" s="5"/>
      <c r="AF143" s="4"/>
      <c r="AG143" s="4"/>
      <c r="AH143" s="4"/>
      <c r="AI143" s="4"/>
      <c r="AJ143" s="7"/>
      <c r="AK143" s="4"/>
      <c r="AL143" s="4"/>
      <c r="AO143" s="4"/>
    </row>
    <row r="144" spans="2:41" ht="12.75">
      <c r="B144" s="12"/>
      <c r="C144" s="9">
        <f t="shared" si="92"/>
        <v>0</v>
      </c>
      <c r="E144" s="3"/>
      <c r="F144" s="7"/>
      <c r="G144" s="5"/>
      <c r="H144" s="5"/>
      <c r="I144" s="5"/>
      <c r="J144" s="5"/>
      <c r="K144" s="5"/>
      <c r="L144" s="5"/>
      <c r="M144" s="5"/>
      <c r="N144" s="10"/>
      <c r="O144" s="10"/>
      <c r="P144" s="10"/>
      <c r="Q144" s="10"/>
      <c r="R144" s="10"/>
      <c r="S144" s="9"/>
      <c r="T144" s="9"/>
      <c r="U144" s="9"/>
      <c r="V144" s="9">
        <f t="shared" si="106"/>
        <v>0</v>
      </c>
      <c r="W144" s="7"/>
      <c r="X144" s="4"/>
      <c r="Y144" s="14"/>
      <c r="Z144" s="5"/>
      <c r="AB144" s="5"/>
      <c r="AC144" s="7"/>
      <c r="AD144" s="6"/>
      <c r="AE144" s="5"/>
      <c r="AF144" s="4"/>
      <c r="AG144" s="4"/>
      <c r="AH144" s="4"/>
      <c r="AI144" s="4"/>
      <c r="AJ144" s="7"/>
      <c r="AK144" s="4"/>
      <c r="AL144" s="4"/>
      <c r="AO144" s="4"/>
    </row>
    <row r="145" spans="1:41" ht="12.75">
      <c r="A145" s="17" t="s">
        <v>168</v>
      </c>
      <c r="B145" s="12" t="s">
        <v>167</v>
      </c>
      <c r="C145" s="9">
        <f t="shared" si="92"/>
        <v>28.080000000000002</v>
      </c>
      <c r="D145" s="17" t="s">
        <v>56</v>
      </c>
      <c r="E145" s="3" t="s">
        <v>12</v>
      </c>
      <c r="F145" s="7">
        <v>-2</v>
      </c>
      <c r="G145" s="3" t="s">
        <v>3</v>
      </c>
      <c r="H145" s="3"/>
      <c r="I145" s="3"/>
      <c r="J145" s="3"/>
      <c r="K145" s="3" t="s">
        <v>2</v>
      </c>
      <c r="L145" s="3"/>
      <c r="M145" s="3"/>
      <c r="N145" s="10" t="str">
        <f>VLOOKUP(D145,Weapon_range,(VLOOKUP(E145,weapon_size_col,2,FALSE)),FALSE)</f>
        <v>3/2</v>
      </c>
      <c r="O145" s="10"/>
      <c r="P145" s="10"/>
      <c r="Q145" s="10"/>
      <c r="R145" s="10"/>
      <c r="S145" s="9">
        <f>VLOOKUP($D145,Weapon_mode,2,FALSE)+VLOOKUP($E145,Weapon_size,2,FALSE)</f>
        <v>-2</v>
      </c>
      <c r="T145" s="9">
        <f>VLOOKUP($D145,Weapon_mode,3,FALSE)++VLOOKUP($E145,Weapon_size,3,FALSE)</f>
        <v>-2</v>
      </c>
      <c r="U145" s="9">
        <f>VLOOKUP($D145,Weapon_mode,4,FALSE)+VLOOKUP($E145,Weapon_size,4,FALSE)</f>
        <v>-3</v>
      </c>
      <c r="V145" s="9">
        <f t="shared" si="106"/>
        <v>0</v>
      </c>
      <c r="W145" s="7">
        <v>120</v>
      </c>
      <c r="X145" s="4" t="s">
        <v>2</v>
      </c>
      <c r="Y145" s="8" t="s">
        <v>166</v>
      </c>
      <c r="Z145" s="3" t="str">
        <f>Y145</f>
        <v>x+12</v>
      </c>
      <c r="AA145" s="5" t="s">
        <v>162</v>
      </c>
      <c r="AB145" s="5">
        <v>17</v>
      </c>
      <c r="AC145" s="7">
        <f>AB145-4</f>
        <v>13</v>
      </c>
      <c r="AD145" s="6">
        <f>VLOOKUP(G145,RoF,2,FALSE)</f>
        <v>1</v>
      </c>
      <c r="AE145" s="5">
        <v>4</v>
      </c>
      <c r="AF145" s="4">
        <f>AB145/(AD145*AE145)</f>
        <v>4.25</v>
      </c>
      <c r="AG145" s="4">
        <f>AC145/AD145*IF(H145="Y",raking,1)*IF(I145="Y",Pierce,1)*IF(J145="Y",Sustained,1)*IF(K145="Y",standard,1)*IF(L145="Y",Pulse,1)*IF(M145="Y",Flash,1)</f>
        <v>13</v>
      </c>
      <c r="AH145" s="4">
        <f>VLOOKUP(S145,FireControl,2)</f>
        <v>0.87</v>
      </c>
      <c r="AI145" s="4">
        <f>VLOOKUP(N145,Range,2,FALSE)</f>
        <v>0.8</v>
      </c>
      <c r="AJ145" s="4">
        <f>VLOOKUP(W145,Arc,2,FALSE)</f>
        <v>1</v>
      </c>
      <c r="AK145" s="4">
        <f>VLOOKUP(X145,Interceptable,2,FALSE)</f>
        <v>0.9</v>
      </c>
      <c r="AL145" s="4">
        <f>VLOOKUP(F145,Interceptability,2,FALSE)</f>
        <v>2</v>
      </c>
      <c r="AM145" s="5">
        <v>1</v>
      </c>
      <c r="AO145" s="4">
        <f>MAX(AG145*AH145*AI145*AJ145*AK145*AM145,AL145)+MIN(AG145*AH145*AI145*AJ145*AK145,AL145)/2</f>
        <v>9.1432</v>
      </c>
    </row>
    <row r="146" spans="2:41" ht="12.75">
      <c r="B146" s="12"/>
      <c r="C146" s="9">
        <f t="shared" si="92"/>
        <v>0</v>
      </c>
      <c r="E146" s="3"/>
      <c r="F146" s="7"/>
      <c r="G146" s="5"/>
      <c r="H146" s="5"/>
      <c r="I146" s="5"/>
      <c r="J146" s="5"/>
      <c r="K146" s="5"/>
      <c r="L146" s="5"/>
      <c r="M146" s="5"/>
      <c r="N146" s="10"/>
      <c r="O146" s="10"/>
      <c r="P146" s="10"/>
      <c r="Q146" s="10"/>
      <c r="R146" s="10"/>
      <c r="S146" s="9"/>
      <c r="T146" s="9"/>
      <c r="U146" s="9"/>
      <c r="V146" s="9">
        <f t="shared" si="106"/>
        <v>0</v>
      </c>
      <c r="W146" s="7"/>
      <c r="X146" s="4"/>
      <c r="Y146" s="14"/>
      <c r="Z146" s="5"/>
      <c r="AB146" s="5"/>
      <c r="AC146" s="7"/>
      <c r="AD146" s="6"/>
      <c r="AE146" s="5"/>
      <c r="AF146" s="4"/>
      <c r="AG146" s="4"/>
      <c r="AH146" s="4"/>
      <c r="AI146" s="4"/>
      <c r="AJ146" s="7"/>
      <c r="AK146" s="4"/>
      <c r="AL146" s="4"/>
      <c r="AO146" s="4"/>
    </row>
    <row r="147" spans="2:41" ht="12.75">
      <c r="B147" s="12"/>
      <c r="C147" s="9">
        <f t="shared" si="92"/>
        <v>0</v>
      </c>
      <c r="E147" s="3"/>
      <c r="F147" s="7"/>
      <c r="G147" s="5"/>
      <c r="H147" s="5"/>
      <c r="I147" s="5"/>
      <c r="J147" s="5"/>
      <c r="K147" s="5"/>
      <c r="L147" s="5"/>
      <c r="M147" s="5"/>
      <c r="N147" s="10"/>
      <c r="O147" s="10"/>
      <c r="P147" s="10"/>
      <c r="Q147" s="10"/>
      <c r="R147" s="10"/>
      <c r="S147" s="9"/>
      <c r="T147" s="9"/>
      <c r="U147" s="9"/>
      <c r="V147" s="9">
        <f t="shared" si="106"/>
        <v>0</v>
      </c>
      <c r="W147" s="7"/>
      <c r="X147" s="4"/>
      <c r="Y147" s="14"/>
      <c r="Z147" s="5"/>
      <c r="AB147" s="5"/>
      <c r="AC147" s="7"/>
      <c r="AD147" s="6"/>
      <c r="AE147" s="5"/>
      <c r="AF147" s="4"/>
      <c r="AG147" s="4"/>
      <c r="AH147" s="4"/>
      <c r="AI147" s="4"/>
      <c r="AJ147" s="7"/>
      <c r="AK147" s="4"/>
      <c r="AL147" s="4"/>
      <c r="AO147" s="4"/>
    </row>
    <row r="148" spans="1:41" ht="12.75">
      <c r="A148" s="17" t="s">
        <v>165</v>
      </c>
      <c r="B148" s="12" t="s">
        <v>164</v>
      </c>
      <c r="C148" s="9">
        <f t="shared" si="92"/>
        <v>0</v>
      </c>
      <c r="D148" s="17" t="s">
        <v>56</v>
      </c>
      <c r="E148" s="3" t="s">
        <v>8</v>
      </c>
      <c r="F148" s="7">
        <v>-3</v>
      </c>
      <c r="G148" s="3" t="s">
        <v>3</v>
      </c>
      <c r="H148" s="3"/>
      <c r="I148" s="3"/>
      <c r="J148" s="3"/>
      <c r="K148" s="3" t="s">
        <v>2</v>
      </c>
      <c r="L148" s="3"/>
      <c r="M148" s="3"/>
      <c r="N148" s="10" t="str">
        <f>VLOOKUP(D148,Weapon_range,(VLOOKUP(E148,weapon_size_col,2,FALSE)),FALSE)</f>
        <v>2/1</v>
      </c>
      <c r="O148" s="10"/>
      <c r="P148" s="10"/>
      <c r="Q148" s="10"/>
      <c r="R148" s="10"/>
      <c r="S148" s="9">
        <f>VLOOKUP($D148,Weapon_mode,2,FALSE)+VLOOKUP($E148,Weapon_size,2,FALSE)</f>
        <v>-2</v>
      </c>
      <c r="T148" s="9">
        <f>VLOOKUP($D148,Weapon_mode,3,FALSE)++VLOOKUP($E148,Weapon_size,3,FALSE)</f>
        <v>-1</v>
      </c>
      <c r="U148" s="9">
        <f>VLOOKUP($D148,Weapon_mode,4,FALSE)+VLOOKUP($E148,Weapon_size,4,FALSE)</f>
        <v>-1</v>
      </c>
      <c r="V148" s="9">
        <f t="shared" si="106"/>
        <v>0</v>
      </c>
      <c r="W148" s="7">
        <v>120</v>
      </c>
      <c r="X148" s="4" t="s">
        <v>2</v>
      </c>
      <c r="Y148" s="5" t="s">
        <v>163</v>
      </c>
      <c r="Z148" s="3" t="str">
        <f>Y148</f>
        <v>x+8</v>
      </c>
      <c r="AA148" s="5" t="s">
        <v>162</v>
      </c>
      <c r="AB148" s="5">
        <v>13</v>
      </c>
      <c r="AC148" s="7"/>
      <c r="AD148" s="6">
        <f>VLOOKUP(G148,RoF,2,FALSE)</f>
        <v>1</v>
      </c>
      <c r="AE148" s="5">
        <v>3</v>
      </c>
      <c r="AF148" s="4">
        <f>AB148/(AD148*AE148)</f>
        <v>4.333333333333333</v>
      </c>
      <c r="AG148" s="4">
        <f>AC148/AD148*IF(H148="Y",raking,1)*IF(I148="Y",Pierce,1)*IF(J148="Y",Sustained,1)*IF(K148="Y",standard,1)*IF(L148="Y",Pulse,1)*IF(M148="Y",Flash,1)</f>
        <v>0</v>
      </c>
      <c r="AH148" s="4">
        <f>VLOOKUP(U148,FireControl,2)</f>
        <v>0.93</v>
      </c>
      <c r="AI148" s="4">
        <f>VLOOKUP(N148,Range,2,FALSE)</f>
        <v>0.65</v>
      </c>
      <c r="AJ148" s="4">
        <f>VLOOKUP(W148,Arc,2,FALSE)</f>
        <v>1</v>
      </c>
      <c r="AK148" s="4">
        <f>VLOOKUP(X148,Interceptable,2,FALSE)</f>
        <v>0.9</v>
      </c>
      <c r="AL148" s="4">
        <f>VLOOKUP(F148,Interceptability,2,FALSE)</f>
        <v>3</v>
      </c>
      <c r="AM148" s="5">
        <v>1</v>
      </c>
      <c r="AO148" s="4">
        <f>MAX(AG148*AH148*AI148*AJ148*AK148*AM148,AL148)+MIN(AG148*AH148*AI148*AJ148*AK148,AL148)/2</f>
        <v>3</v>
      </c>
    </row>
    <row r="149" spans="1:41" ht="12.75">
      <c r="A149" s="17"/>
      <c r="B149" s="12"/>
      <c r="C149" s="9">
        <f t="shared" si="92"/>
        <v>0</v>
      </c>
      <c r="D149" s="17"/>
      <c r="E149" s="3"/>
      <c r="F149" s="7"/>
      <c r="G149" s="3"/>
      <c r="H149" s="3"/>
      <c r="I149" s="3"/>
      <c r="J149" s="3"/>
      <c r="K149" s="3"/>
      <c r="L149" s="3"/>
      <c r="M149" s="3"/>
      <c r="N149" s="10"/>
      <c r="O149" s="10"/>
      <c r="P149" s="10"/>
      <c r="Q149" s="10"/>
      <c r="R149" s="10"/>
      <c r="S149" s="9"/>
      <c r="T149" s="9"/>
      <c r="U149" s="9"/>
      <c r="V149" s="9">
        <f t="shared" si="106"/>
        <v>0</v>
      </c>
      <c r="W149" s="7"/>
      <c r="X149" s="4"/>
      <c r="Y149" s="14"/>
      <c r="Z149" s="5"/>
      <c r="AB149" s="5"/>
      <c r="AC149" s="7"/>
      <c r="AD149" s="6"/>
      <c r="AE149" s="5"/>
      <c r="AF149" s="4"/>
      <c r="AG149" s="4"/>
      <c r="AH149" s="4"/>
      <c r="AI149" s="4"/>
      <c r="AJ149" s="7"/>
      <c r="AK149" s="4"/>
      <c r="AL149" s="4"/>
      <c r="AO149" s="4"/>
    </row>
    <row r="150" spans="1:41" ht="12.75">
      <c r="A150" s="21" t="s">
        <v>261</v>
      </c>
      <c r="B150" s="12"/>
      <c r="C150" s="9" t="e">
        <f t="shared" si="92"/>
        <v>#DIV/0!</v>
      </c>
      <c r="D150" s="17"/>
      <c r="E150" s="3"/>
      <c r="F150" s="7"/>
      <c r="G150" s="3"/>
      <c r="H150" s="3"/>
      <c r="I150" s="3"/>
      <c r="J150" s="3"/>
      <c r="K150" s="3"/>
      <c r="L150" s="3"/>
      <c r="M150" s="3"/>
      <c r="N150" s="10"/>
      <c r="O150" s="10"/>
      <c r="P150" s="10"/>
      <c r="Q150" s="10"/>
      <c r="R150" s="10"/>
      <c r="S150" s="9"/>
      <c r="T150" s="9"/>
      <c r="U150" s="9"/>
      <c r="V150" s="9">
        <f t="shared" si="106"/>
        <v>0</v>
      </c>
      <c r="W150" s="7"/>
      <c r="X150" s="4"/>
      <c r="Y150" s="8"/>
      <c r="Z150" s="5"/>
      <c r="AB150" s="5"/>
      <c r="AC150" s="7"/>
      <c r="AD150" s="6"/>
      <c r="AE150" s="5"/>
      <c r="AF150" s="4"/>
      <c r="AG150" s="4" t="e">
        <f aca="true" t="shared" si="107" ref="AG150:AG158">AC150/AD150*IF(H150="Y",raking,1)*IF(I150="Y",Pierce,1)*IF(J150="Y",Sustained,1)*IF(K150="Y",standard,1)*IF(L150="Y",Pulse,1)*IF(M150="Y",Flash,1)</f>
        <v>#DIV/0!</v>
      </c>
      <c r="AH150" s="4"/>
      <c r="AI150" s="4"/>
      <c r="AJ150" s="7"/>
      <c r="AK150" s="4"/>
      <c r="AL150" s="4"/>
      <c r="AO150" s="4"/>
    </row>
    <row r="151" spans="1:41" ht="12.75">
      <c r="A151" s="17" t="s">
        <v>260</v>
      </c>
      <c r="B151" s="12" t="s">
        <v>259</v>
      </c>
      <c r="C151" s="9">
        <f t="shared" si="92"/>
        <v>4.2997499999999995</v>
      </c>
      <c r="D151" s="17" t="s">
        <v>131</v>
      </c>
      <c r="E151" s="3" t="s">
        <v>155</v>
      </c>
      <c r="F151" s="7">
        <v>-3</v>
      </c>
      <c r="G151" s="3" t="s">
        <v>3</v>
      </c>
      <c r="H151" s="3"/>
      <c r="I151" s="3"/>
      <c r="J151" s="3"/>
      <c r="K151" s="3" t="s">
        <v>2</v>
      </c>
      <c r="L151" s="3"/>
      <c r="M151" s="3"/>
      <c r="N151" s="10" t="str">
        <f aca="true" t="shared" si="108" ref="N151:N157">VLOOKUP(D151,Weapon_range,(VLOOKUP(E151,weapon_size_col,2,FALSE)),FALSE)</f>
        <v>3/2</v>
      </c>
      <c r="O151" s="10">
        <v>9</v>
      </c>
      <c r="P151" s="10">
        <v>-12</v>
      </c>
      <c r="Q151" s="10">
        <v>-35</v>
      </c>
      <c r="R151" s="10">
        <v>-74</v>
      </c>
      <c r="S151" s="9">
        <f aca="true" t="shared" si="109" ref="S151:S157">VLOOKUP($D151,Weapon_mode,2,FALSE)+VLOOKUP($E151,Weapon_size,2,FALSE)</f>
        <v>-1</v>
      </c>
      <c r="T151" s="9">
        <f aca="true" t="shared" si="110" ref="T151:T157">VLOOKUP($D151,Weapon_mode,3,FALSE)++VLOOKUP($E151,Weapon_size,3,FALSE)</f>
        <v>2</v>
      </c>
      <c r="U151" s="9">
        <f aca="true" t="shared" si="111" ref="U151:U157">VLOOKUP($D151,Weapon_mode,4,FALSE)+VLOOKUP($E151,Weapon_size,4,FALSE)</f>
        <v>5</v>
      </c>
      <c r="V151" s="9">
        <f t="shared" si="106"/>
        <v>-19</v>
      </c>
      <c r="W151" s="7">
        <v>120</v>
      </c>
      <c r="X151" s="4" t="s">
        <v>243</v>
      </c>
      <c r="Y151" s="8" t="s">
        <v>246</v>
      </c>
      <c r="Z151" s="24" t="s">
        <v>64</v>
      </c>
      <c r="AB151" s="5">
        <v>3.5</v>
      </c>
      <c r="AC151" s="7">
        <f aca="true" t="shared" si="112" ref="AC151:AC157">AB151</f>
        <v>3.5</v>
      </c>
      <c r="AD151" s="6">
        <f aca="true" t="shared" si="113" ref="AD151:AD157">VLOOKUP(G151,RoF,2,FALSE)</f>
        <v>1</v>
      </c>
      <c r="AE151" s="5">
        <v>1</v>
      </c>
      <c r="AF151" s="4">
        <f aca="true" t="shared" si="114" ref="AF151:AF157">AB151/(AD151*AE151)</f>
        <v>3.5</v>
      </c>
      <c r="AG151" s="4">
        <f t="shared" si="107"/>
        <v>3.5</v>
      </c>
      <c r="AH151" s="4">
        <f aca="true" t="shared" si="115" ref="AH151:AH157">VLOOKUP(U151,FireControl,2)</f>
        <v>1.4</v>
      </c>
      <c r="AI151" s="4">
        <f aca="true" t="shared" si="116" ref="AI151:AI157">VLOOKUP(N151,Range,2,FALSE)</f>
        <v>0.8</v>
      </c>
      <c r="AJ151" s="4">
        <f aca="true" t="shared" si="117" ref="AJ151:AJ157">VLOOKUP(W151,Arc,2,FALSE)</f>
        <v>1</v>
      </c>
      <c r="AK151" s="4">
        <f aca="true" t="shared" si="118" ref="AK151:AK157">VLOOKUP(X151,Interceptable,2,FALSE)</f>
        <v>0.9</v>
      </c>
      <c r="AL151" s="4">
        <f aca="true" t="shared" si="119" ref="AL151:AL157">VLOOKUP(F151,Interceptability,2,FALSE)</f>
        <v>3</v>
      </c>
      <c r="AM151" s="5">
        <v>1</v>
      </c>
      <c r="AO151" s="4">
        <f aca="true" t="shared" si="120" ref="AO151:AO157">MAX(AG151*AH151*AI151*AJ151*AK151*AM151,AL151)+MIN(AG151*AH151*AI151*AJ151*AK151,AL151)/2</f>
        <v>5.0280000000000005</v>
      </c>
    </row>
    <row r="152" spans="1:41" ht="12.75">
      <c r="A152" s="17" t="s">
        <v>258</v>
      </c>
      <c r="B152" s="12" t="s">
        <v>257</v>
      </c>
      <c r="C152" s="9">
        <f t="shared" si="92"/>
        <v>5.953499999999999</v>
      </c>
      <c r="D152" s="17" t="s">
        <v>131</v>
      </c>
      <c r="E152" s="3" t="s">
        <v>155</v>
      </c>
      <c r="F152" s="7">
        <v>-4</v>
      </c>
      <c r="G152" s="3" t="s">
        <v>3</v>
      </c>
      <c r="H152" s="3"/>
      <c r="I152" s="3"/>
      <c r="J152" s="3"/>
      <c r="K152" s="3" t="s">
        <v>2</v>
      </c>
      <c r="L152" s="3"/>
      <c r="M152" s="3"/>
      <c r="N152" s="10" t="str">
        <f t="shared" si="108"/>
        <v>3/2</v>
      </c>
      <c r="O152" s="10">
        <v>9</v>
      </c>
      <c r="P152" s="10">
        <v>-12</v>
      </c>
      <c r="Q152" s="10">
        <v>-35</v>
      </c>
      <c r="R152" s="10">
        <v>-74</v>
      </c>
      <c r="S152" s="9">
        <f t="shared" si="109"/>
        <v>-1</v>
      </c>
      <c r="T152" s="9">
        <f t="shared" si="110"/>
        <v>2</v>
      </c>
      <c r="U152" s="9">
        <f t="shared" si="111"/>
        <v>5</v>
      </c>
      <c r="V152" s="9">
        <f t="shared" si="106"/>
        <v>-19</v>
      </c>
      <c r="W152" s="7">
        <v>120</v>
      </c>
      <c r="X152" s="4" t="s">
        <v>243</v>
      </c>
      <c r="Y152" s="8" t="s">
        <v>254</v>
      </c>
      <c r="Z152" s="24" t="s">
        <v>58</v>
      </c>
      <c r="AB152" s="5">
        <v>4.5</v>
      </c>
      <c r="AC152" s="7">
        <f t="shared" si="112"/>
        <v>4.5</v>
      </c>
      <c r="AD152" s="6">
        <f t="shared" si="113"/>
        <v>1</v>
      </c>
      <c r="AE152" s="5">
        <v>2</v>
      </c>
      <c r="AF152" s="4">
        <f t="shared" si="114"/>
        <v>2.25</v>
      </c>
      <c r="AG152" s="4">
        <f t="shared" si="107"/>
        <v>4.5</v>
      </c>
      <c r="AH152" s="4">
        <f t="shared" si="115"/>
        <v>1.4</v>
      </c>
      <c r="AI152" s="4">
        <f t="shared" si="116"/>
        <v>0.8</v>
      </c>
      <c r="AJ152" s="4">
        <f t="shared" si="117"/>
        <v>1</v>
      </c>
      <c r="AK152" s="4">
        <f t="shared" si="118"/>
        <v>0.9</v>
      </c>
      <c r="AL152" s="4">
        <f t="shared" si="119"/>
        <v>4</v>
      </c>
      <c r="AM152" s="5">
        <v>1</v>
      </c>
      <c r="AO152" s="4">
        <f t="shared" si="120"/>
        <v>6.5360000000000005</v>
      </c>
    </row>
    <row r="153" spans="1:41" ht="12.75">
      <c r="A153" s="17" t="s">
        <v>256</v>
      </c>
      <c r="B153" s="12" t="s">
        <v>255</v>
      </c>
      <c r="C153" s="9">
        <f t="shared" si="92"/>
        <v>6.548850000000001</v>
      </c>
      <c r="D153" s="17" t="s">
        <v>131</v>
      </c>
      <c r="E153" s="3" t="s">
        <v>155</v>
      </c>
      <c r="F153" s="7">
        <v>-4</v>
      </c>
      <c r="G153" s="3" t="s">
        <v>3</v>
      </c>
      <c r="H153" s="3"/>
      <c r="I153" s="3"/>
      <c r="J153" s="3"/>
      <c r="K153" s="3" t="s">
        <v>2</v>
      </c>
      <c r="L153" s="3"/>
      <c r="M153" s="3"/>
      <c r="N153" s="10" t="str">
        <f t="shared" si="108"/>
        <v>3/2</v>
      </c>
      <c r="O153" s="10">
        <v>9</v>
      </c>
      <c r="P153" s="10">
        <v>-12</v>
      </c>
      <c r="Q153" s="10">
        <v>-35</v>
      </c>
      <c r="R153" s="10">
        <v>-74</v>
      </c>
      <c r="S153" s="9">
        <f t="shared" si="109"/>
        <v>-1</v>
      </c>
      <c r="T153" s="9">
        <f t="shared" si="110"/>
        <v>2</v>
      </c>
      <c r="U153" s="9">
        <f t="shared" si="111"/>
        <v>5</v>
      </c>
      <c r="V153" s="9">
        <f t="shared" si="106"/>
        <v>-19</v>
      </c>
      <c r="W153" s="7">
        <v>180</v>
      </c>
      <c r="X153" s="4" t="s">
        <v>243</v>
      </c>
      <c r="Y153" s="8" t="s">
        <v>254</v>
      </c>
      <c r="Z153" s="24" t="s">
        <v>58</v>
      </c>
      <c r="AB153" s="5">
        <v>4.5</v>
      </c>
      <c r="AC153" s="7">
        <f t="shared" si="112"/>
        <v>4.5</v>
      </c>
      <c r="AD153" s="6">
        <f t="shared" si="113"/>
        <v>1</v>
      </c>
      <c r="AE153" s="5">
        <v>2</v>
      </c>
      <c r="AF153" s="4">
        <f t="shared" si="114"/>
        <v>2.25</v>
      </c>
      <c r="AG153" s="4">
        <f t="shared" si="107"/>
        <v>4.5</v>
      </c>
      <c r="AH153" s="4">
        <f t="shared" si="115"/>
        <v>1.4</v>
      </c>
      <c r="AI153" s="4">
        <f t="shared" si="116"/>
        <v>0.8</v>
      </c>
      <c r="AJ153" s="4">
        <f t="shared" si="117"/>
        <v>1.1</v>
      </c>
      <c r="AK153" s="4">
        <f t="shared" si="118"/>
        <v>0.9</v>
      </c>
      <c r="AL153" s="4">
        <f t="shared" si="119"/>
        <v>4</v>
      </c>
      <c r="AM153" s="5">
        <v>1</v>
      </c>
      <c r="AO153" s="4">
        <f t="shared" si="120"/>
        <v>6.9896</v>
      </c>
    </row>
    <row r="154" spans="1:41" ht="12.75">
      <c r="A154" s="17" t="s">
        <v>253</v>
      </c>
      <c r="B154" s="12" t="s">
        <v>252</v>
      </c>
      <c r="C154" s="9">
        <f t="shared" si="92"/>
        <v>15.910714285714288</v>
      </c>
      <c r="D154" s="17" t="s">
        <v>131</v>
      </c>
      <c r="E154" s="3" t="s">
        <v>251</v>
      </c>
      <c r="F154" s="7">
        <v>-5</v>
      </c>
      <c r="G154" s="3" t="s">
        <v>146</v>
      </c>
      <c r="H154" s="3"/>
      <c r="I154" s="3"/>
      <c r="J154" s="3"/>
      <c r="K154" s="3" t="s">
        <v>2</v>
      </c>
      <c r="L154" s="3"/>
      <c r="M154" s="3"/>
      <c r="N154" s="10" t="str">
        <f t="shared" si="108"/>
        <v>3/2</v>
      </c>
      <c r="O154" s="10">
        <v>8</v>
      </c>
      <c r="P154" s="10">
        <v>-9</v>
      </c>
      <c r="Q154" s="10">
        <v>-30</v>
      </c>
      <c r="R154" s="10">
        <v>-64</v>
      </c>
      <c r="S154" s="9">
        <f t="shared" si="109"/>
        <v>-1</v>
      </c>
      <c r="T154" s="9">
        <f t="shared" si="110"/>
        <v>2</v>
      </c>
      <c r="U154" s="9">
        <f t="shared" si="111"/>
        <v>4</v>
      </c>
      <c r="V154" s="9">
        <f t="shared" si="106"/>
        <v>-18</v>
      </c>
      <c r="W154" s="7">
        <v>120</v>
      </c>
      <c r="X154" s="4" t="s">
        <v>243</v>
      </c>
      <c r="Y154" s="8" t="s">
        <v>250</v>
      </c>
      <c r="Z154" s="24" t="s">
        <v>86</v>
      </c>
      <c r="AB154" s="5">
        <v>7.5</v>
      </c>
      <c r="AC154" s="7">
        <f t="shared" si="112"/>
        <v>7.5</v>
      </c>
      <c r="AD154" s="6">
        <f t="shared" si="113"/>
        <v>0.7</v>
      </c>
      <c r="AE154" s="5">
        <v>3</v>
      </c>
      <c r="AF154" s="4">
        <f t="shared" si="114"/>
        <v>3.571428571428572</v>
      </c>
      <c r="AG154" s="4">
        <f t="shared" si="107"/>
        <v>10.714285714285715</v>
      </c>
      <c r="AH154" s="4">
        <f t="shared" si="115"/>
        <v>1.31</v>
      </c>
      <c r="AI154" s="4">
        <f t="shared" si="116"/>
        <v>0.8</v>
      </c>
      <c r="AJ154" s="4">
        <f t="shared" si="117"/>
        <v>1</v>
      </c>
      <c r="AK154" s="4">
        <f t="shared" si="118"/>
        <v>0.9</v>
      </c>
      <c r="AL154" s="4">
        <f t="shared" si="119"/>
        <v>5</v>
      </c>
      <c r="AM154" s="5">
        <v>1</v>
      </c>
      <c r="AO154" s="4">
        <f t="shared" si="120"/>
        <v>12.605714285714289</v>
      </c>
    </row>
    <row r="155" spans="1:41" ht="12.75">
      <c r="A155" s="17" t="s">
        <v>248</v>
      </c>
      <c r="B155" s="12" t="s">
        <v>249</v>
      </c>
      <c r="C155" s="9">
        <f t="shared" si="92"/>
        <v>4.709249999999999</v>
      </c>
      <c r="D155" s="17" t="s">
        <v>4</v>
      </c>
      <c r="E155" s="3" t="s">
        <v>155</v>
      </c>
      <c r="F155" s="7">
        <v>-3</v>
      </c>
      <c r="G155" s="3" t="s">
        <v>3</v>
      </c>
      <c r="H155" s="3"/>
      <c r="I155" s="3"/>
      <c r="J155" s="3"/>
      <c r="K155" s="3" t="s">
        <v>2</v>
      </c>
      <c r="L155" s="3"/>
      <c r="M155" s="3"/>
      <c r="N155" s="10" t="str">
        <f t="shared" si="108"/>
        <v>1/1</v>
      </c>
      <c r="O155" s="10">
        <v>10</v>
      </c>
      <c r="P155" s="10">
        <v>-10</v>
      </c>
      <c r="Q155" s="10">
        <v>-33</v>
      </c>
      <c r="R155" s="10">
        <v>-71</v>
      </c>
      <c r="S155" s="9">
        <f t="shared" si="109"/>
        <v>0</v>
      </c>
      <c r="T155" s="9">
        <f t="shared" si="110"/>
        <v>3</v>
      </c>
      <c r="U155" s="9">
        <f t="shared" si="111"/>
        <v>6</v>
      </c>
      <c r="V155" s="9">
        <f t="shared" si="106"/>
        <v>-17</v>
      </c>
      <c r="W155" s="7">
        <v>120</v>
      </c>
      <c r="X155" s="4" t="s">
        <v>243</v>
      </c>
      <c r="Y155" s="8" t="s">
        <v>246</v>
      </c>
      <c r="Z155" s="24" t="s">
        <v>64</v>
      </c>
      <c r="AB155" s="5">
        <v>3.5</v>
      </c>
      <c r="AC155" s="7">
        <f t="shared" si="112"/>
        <v>3.5</v>
      </c>
      <c r="AD155" s="6">
        <f t="shared" si="113"/>
        <v>1</v>
      </c>
      <c r="AE155" s="5">
        <v>2</v>
      </c>
      <c r="AF155" s="4">
        <f t="shared" si="114"/>
        <v>1.75</v>
      </c>
      <c r="AG155" s="4">
        <f t="shared" si="107"/>
        <v>3.5</v>
      </c>
      <c r="AH155" s="4">
        <f t="shared" si="115"/>
        <v>1.5</v>
      </c>
      <c r="AI155" s="4">
        <f t="shared" si="116"/>
        <v>1</v>
      </c>
      <c r="AJ155" s="4">
        <f t="shared" si="117"/>
        <v>1</v>
      </c>
      <c r="AK155" s="4">
        <f t="shared" si="118"/>
        <v>0.9</v>
      </c>
      <c r="AL155" s="4">
        <f t="shared" si="119"/>
        <v>3</v>
      </c>
      <c r="AM155" s="5">
        <v>1</v>
      </c>
      <c r="AO155" s="4">
        <f t="shared" si="120"/>
        <v>6.2250000000000005</v>
      </c>
    </row>
    <row r="156" spans="1:41" ht="12.75">
      <c r="A156" s="17" t="s">
        <v>248</v>
      </c>
      <c r="B156" s="12" t="s">
        <v>247</v>
      </c>
      <c r="C156" s="9">
        <f t="shared" si="92"/>
        <v>6.122025</v>
      </c>
      <c r="D156" s="17" t="s">
        <v>4</v>
      </c>
      <c r="E156" s="3" t="s">
        <v>155</v>
      </c>
      <c r="F156" s="7">
        <v>-3</v>
      </c>
      <c r="G156" s="3" t="s">
        <v>3</v>
      </c>
      <c r="H156" s="3"/>
      <c r="I156" s="3"/>
      <c r="J156" s="3"/>
      <c r="K156" s="3" t="s">
        <v>2</v>
      </c>
      <c r="L156" s="3"/>
      <c r="M156" s="3"/>
      <c r="N156" s="10" t="str">
        <f t="shared" si="108"/>
        <v>1/1</v>
      </c>
      <c r="O156" s="10">
        <v>10</v>
      </c>
      <c r="P156" s="10">
        <v>-10</v>
      </c>
      <c r="Q156" s="10">
        <v>-33</v>
      </c>
      <c r="R156" s="10">
        <v>-71</v>
      </c>
      <c r="S156" s="9">
        <f t="shared" si="109"/>
        <v>0</v>
      </c>
      <c r="T156" s="9">
        <f t="shared" si="110"/>
        <v>3</v>
      </c>
      <c r="U156" s="9">
        <f t="shared" si="111"/>
        <v>6</v>
      </c>
      <c r="V156" s="9">
        <f t="shared" si="106"/>
        <v>-17</v>
      </c>
      <c r="W156" s="7">
        <v>360</v>
      </c>
      <c r="X156" s="4" t="s">
        <v>243</v>
      </c>
      <c r="Y156" s="8" t="s">
        <v>246</v>
      </c>
      <c r="Z156" s="24" t="s">
        <v>64</v>
      </c>
      <c r="AB156" s="5">
        <v>3.5</v>
      </c>
      <c r="AC156" s="7">
        <f t="shared" si="112"/>
        <v>3.5</v>
      </c>
      <c r="AD156" s="6">
        <f t="shared" si="113"/>
        <v>1</v>
      </c>
      <c r="AE156" s="5">
        <v>2</v>
      </c>
      <c r="AF156" s="4">
        <f t="shared" si="114"/>
        <v>1.75</v>
      </c>
      <c r="AG156" s="4">
        <f t="shared" si="107"/>
        <v>3.5</v>
      </c>
      <c r="AH156" s="4">
        <f t="shared" si="115"/>
        <v>1.5</v>
      </c>
      <c r="AI156" s="4">
        <f t="shared" si="116"/>
        <v>1</v>
      </c>
      <c r="AJ156" s="4">
        <f t="shared" si="117"/>
        <v>1.3</v>
      </c>
      <c r="AK156" s="4">
        <f t="shared" si="118"/>
        <v>0.9</v>
      </c>
      <c r="AL156" s="4">
        <f t="shared" si="119"/>
        <v>3</v>
      </c>
      <c r="AM156" s="5">
        <v>1</v>
      </c>
      <c r="AO156" s="4">
        <f t="shared" si="120"/>
        <v>7.6425</v>
      </c>
    </row>
    <row r="157" spans="1:41" ht="12.75">
      <c r="A157" s="17" t="s">
        <v>245</v>
      </c>
      <c r="B157" s="12" t="s">
        <v>244</v>
      </c>
      <c r="C157" s="9">
        <f t="shared" si="92"/>
        <v>4.709249999999999</v>
      </c>
      <c r="D157" s="17" t="s">
        <v>4</v>
      </c>
      <c r="E157" s="3" t="s">
        <v>155</v>
      </c>
      <c r="F157" s="7">
        <v>-3</v>
      </c>
      <c r="G157" s="3" t="s">
        <v>3</v>
      </c>
      <c r="H157" s="3"/>
      <c r="I157" s="3"/>
      <c r="J157" s="3"/>
      <c r="K157" s="3" t="s">
        <v>2</v>
      </c>
      <c r="L157" s="3"/>
      <c r="M157" s="3"/>
      <c r="N157" s="10" t="str">
        <f t="shared" si="108"/>
        <v>1/1</v>
      </c>
      <c r="O157" s="10">
        <v>10</v>
      </c>
      <c r="P157" s="10">
        <v>-10</v>
      </c>
      <c r="Q157" s="10">
        <v>-33</v>
      </c>
      <c r="R157" s="10">
        <v>-71</v>
      </c>
      <c r="S157" s="9">
        <f t="shared" si="109"/>
        <v>0</v>
      </c>
      <c r="T157" s="9">
        <f t="shared" si="110"/>
        <v>3</v>
      </c>
      <c r="U157" s="9">
        <f t="shared" si="111"/>
        <v>6</v>
      </c>
      <c r="V157" s="9">
        <f t="shared" si="106"/>
        <v>-17</v>
      </c>
      <c r="W157" s="7">
        <v>120</v>
      </c>
      <c r="X157" s="4" t="s">
        <v>243</v>
      </c>
      <c r="Y157" s="8" t="s">
        <v>124</v>
      </c>
      <c r="Z157" s="24" t="s">
        <v>64</v>
      </c>
      <c r="AB157" s="5">
        <v>3.5</v>
      </c>
      <c r="AC157" s="7">
        <f t="shared" si="112"/>
        <v>3.5</v>
      </c>
      <c r="AD157" s="6">
        <f t="shared" si="113"/>
        <v>1</v>
      </c>
      <c r="AE157" s="5">
        <v>2</v>
      </c>
      <c r="AF157" s="4">
        <f t="shared" si="114"/>
        <v>1.75</v>
      </c>
      <c r="AG157" s="4">
        <f t="shared" si="107"/>
        <v>3.5</v>
      </c>
      <c r="AH157" s="4">
        <f t="shared" si="115"/>
        <v>1.5</v>
      </c>
      <c r="AI157" s="4">
        <f t="shared" si="116"/>
        <v>1</v>
      </c>
      <c r="AJ157" s="4">
        <f t="shared" si="117"/>
        <v>1</v>
      </c>
      <c r="AK157" s="4">
        <f t="shared" si="118"/>
        <v>0.9</v>
      </c>
      <c r="AL157" s="4">
        <f t="shared" si="119"/>
        <v>3</v>
      </c>
      <c r="AM157" s="5">
        <v>1</v>
      </c>
      <c r="AO157" s="4">
        <f t="shared" si="120"/>
        <v>6.2250000000000005</v>
      </c>
    </row>
    <row r="158" spans="1:41" ht="12.75">
      <c r="A158" s="17"/>
      <c r="B158" s="12"/>
      <c r="C158" s="9" t="e">
        <f t="shared" si="92"/>
        <v>#DIV/0!</v>
      </c>
      <c r="D158" s="17"/>
      <c r="E158" s="3"/>
      <c r="F158" s="7"/>
      <c r="G158" s="3"/>
      <c r="H158" s="3"/>
      <c r="I158" s="3"/>
      <c r="J158" s="3"/>
      <c r="K158" s="3"/>
      <c r="L158" s="3"/>
      <c r="M158" s="3"/>
      <c r="N158" s="10"/>
      <c r="O158" s="10"/>
      <c r="P158" s="10"/>
      <c r="Q158" s="10"/>
      <c r="R158" s="10"/>
      <c r="S158" s="9"/>
      <c r="T158" s="9"/>
      <c r="U158" s="9"/>
      <c r="V158" s="9">
        <f t="shared" si="106"/>
        <v>0</v>
      </c>
      <c r="W158" s="7"/>
      <c r="X158" s="4"/>
      <c r="Y158" s="8"/>
      <c r="Z158" s="5"/>
      <c r="AB158" s="5"/>
      <c r="AC158" s="7"/>
      <c r="AD158" s="6"/>
      <c r="AE158" s="5"/>
      <c r="AF158" s="4"/>
      <c r="AG158" s="4" t="e">
        <f t="shared" si="107"/>
        <v>#DIV/0!</v>
      </c>
      <c r="AH158" s="4"/>
      <c r="AI158" s="4"/>
      <c r="AJ158" s="7"/>
      <c r="AK158" s="4"/>
      <c r="AL158" s="4"/>
      <c r="AO158" s="4"/>
    </row>
    <row r="159" spans="1:41" ht="12.75">
      <c r="A159" s="15" t="s">
        <v>45</v>
      </c>
      <c r="B159" s="12"/>
      <c r="C159" s="9">
        <f t="shared" si="92"/>
        <v>0</v>
      </c>
      <c r="E159" s="3"/>
      <c r="F159" s="7"/>
      <c r="G159" s="5"/>
      <c r="H159" s="5"/>
      <c r="I159" s="5"/>
      <c r="J159" s="5"/>
      <c r="K159" s="5"/>
      <c r="L159" s="5"/>
      <c r="M159" s="5"/>
      <c r="N159" s="10"/>
      <c r="O159" s="10"/>
      <c r="P159" s="10"/>
      <c r="Q159" s="10"/>
      <c r="R159" s="10"/>
      <c r="S159" s="9"/>
      <c r="T159" s="9"/>
      <c r="U159" s="9"/>
      <c r="V159" s="9">
        <f t="shared" si="106"/>
        <v>0</v>
      </c>
      <c r="W159" s="7"/>
      <c r="X159" s="4"/>
      <c r="Y159" s="14"/>
      <c r="Z159" s="5"/>
      <c r="AB159" s="5"/>
      <c r="AC159" s="7"/>
      <c r="AD159" s="6"/>
      <c r="AE159" s="5"/>
      <c r="AF159" s="4"/>
      <c r="AG159" s="4"/>
      <c r="AH159" s="4"/>
      <c r="AI159" s="4"/>
      <c r="AJ159" s="7"/>
      <c r="AK159" s="4"/>
      <c r="AL159" s="4"/>
      <c r="AO159" s="4"/>
    </row>
    <row r="160" spans="1:41" ht="12.75">
      <c r="A160" s="25" t="s">
        <v>161</v>
      </c>
      <c r="B160" s="12"/>
      <c r="C160" s="9">
        <f t="shared" si="92"/>
        <v>0</v>
      </c>
      <c r="E160" s="3"/>
      <c r="F160" s="7"/>
      <c r="G160" s="5"/>
      <c r="H160" s="5"/>
      <c r="I160" s="5"/>
      <c r="J160" s="5"/>
      <c r="K160" s="5"/>
      <c r="L160" s="5"/>
      <c r="M160" s="5"/>
      <c r="N160" s="10"/>
      <c r="O160" s="10">
        <v>0</v>
      </c>
      <c r="P160" s="10">
        <v>0</v>
      </c>
      <c r="Q160" s="10">
        <v>0</v>
      </c>
      <c r="R160" s="10">
        <v>0</v>
      </c>
      <c r="S160" s="9"/>
      <c r="T160" s="9"/>
      <c r="U160" s="9"/>
      <c r="V160" s="9">
        <f t="shared" si="106"/>
        <v>0</v>
      </c>
      <c r="W160" s="7"/>
      <c r="X160" s="4"/>
      <c r="Y160" s="14"/>
      <c r="Z160" s="5"/>
      <c r="AB160" s="5"/>
      <c r="AC160" s="7"/>
      <c r="AD160" s="6"/>
      <c r="AE160" s="5"/>
      <c r="AF160" s="4"/>
      <c r="AG160" s="4"/>
      <c r="AH160" s="4"/>
      <c r="AI160" s="4"/>
      <c r="AJ160" s="7"/>
      <c r="AK160" s="4"/>
      <c r="AL160" s="4"/>
      <c r="AO160" s="4"/>
    </row>
    <row r="161" spans="1:41" ht="12.75">
      <c r="A161" s="17" t="s">
        <v>160</v>
      </c>
      <c r="B161" s="12" t="s">
        <v>159</v>
      </c>
      <c r="C161" s="9">
        <f t="shared" si="92"/>
        <v>10.74857142857143</v>
      </c>
      <c r="D161" s="17" t="s">
        <v>45</v>
      </c>
      <c r="E161" s="3" t="s">
        <v>12</v>
      </c>
      <c r="F161" s="7">
        <v>0</v>
      </c>
      <c r="G161" s="3" t="s">
        <v>11</v>
      </c>
      <c r="H161" s="3"/>
      <c r="I161" s="3"/>
      <c r="J161" s="3"/>
      <c r="K161" s="3"/>
      <c r="L161" s="3"/>
      <c r="M161" s="3" t="s">
        <v>2</v>
      </c>
      <c r="N161" s="10">
        <v>50</v>
      </c>
      <c r="O161" s="10">
        <v>-5</v>
      </c>
      <c r="P161" s="10">
        <v>-5</v>
      </c>
      <c r="Q161" s="10">
        <v>-5</v>
      </c>
      <c r="R161" s="10">
        <v>-5</v>
      </c>
      <c r="S161" s="9">
        <f>VLOOKUP($D161,Weapon_mode,2,FALSE)+VLOOKUP($E161,Weapon_size,2,FALSE)</f>
        <v>0</v>
      </c>
      <c r="T161" s="9">
        <f>VLOOKUP($D161,Weapon_mode,3,FALSE)++VLOOKUP($E161,Weapon_size,3,FALSE)</f>
        <v>0</v>
      </c>
      <c r="U161" s="9">
        <f>VLOOKUP($D161,Weapon_mode,4,FALSE)+VLOOKUP($E161,Weapon_size,4,FALSE)</f>
        <v>0</v>
      </c>
      <c r="V161" s="9">
        <f t="shared" si="106"/>
        <v>-8</v>
      </c>
      <c r="W161" s="7">
        <v>120</v>
      </c>
      <c r="X161" s="4" t="s">
        <v>21</v>
      </c>
      <c r="Y161" s="8" t="s">
        <v>158</v>
      </c>
      <c r="Z161" s="3" t="str">
        <f>Y161</f>
        <v>30/10</v>
      </c>
      <c r="AB161" s="5">
        <v>13</v>
      </c>
      <c r="AC161" s="7">
        <f>AB161-4</f>
        <v>9</v>
      </c>
      <c r="AD161" s="6">
        <f>VLOOKUP(G161,RoF,2,FALSE)</f>
        <v>1.4</v>
      </c>
      <c r="AE161" s="5">
        <v>4</v>
      </c>
      <c r="AF161" s="4">
        <f>AB161/(AD161*AE161)</f>
        <v>2.3214285714285716</v>
      </c>
      <c r="AG161" s="4">
        <f>AC161/AD161*IF(H161="Y",raking,1)*IF(I161="Y",Pierce,1)*IF(J161="Y",Sustained,1)*IF(K161="Y",standard,1)*IF(L161="Y",Pulse,1)*IF(M161="Y",Flash,1)</f>
        <v>6.107142857142857</v>
      </c>
      <c r="AH161" s="4">
        <f>VLOOKUP(S161,FireControl,2)</f>
        <v>1</v>
      </c>
      <c r="AI161" s="4">
        <f>VLOOKUP(N161,Range,2,FALSE)</f>
        <v>2.1</v>
      </c>
      <c r="AJ161" s="4">
        <f>VLOOKUP(W161,Arc,2,FALSE)</f>
        <v>1</v>
      </c>
      <c r="AK161" s="4">
        <f>VLOOKUP(X161,Interceptable,2,FALSE)</f>
        <v>1.1</v>
      </c>
      <c r="AL161" s="4">
        <f>VLOOKUP(F161,Interceptability,2,FALSE)</f>
        <v>0</v>
      </c>
      <c r="AM161" s="5">
        <v>1</v>
      </c>
      <c r="AO161" s="4">
        <f>MAX(AG161*AH161*AI161*AJ161*AK161*AM161,AL161)+MIN(AG161*AH161*AI161*AJ161*AK161,AL161)/2</f>
        <v>14.1075</v>
      </c>
    </row>
    <row r="162" spans="1:41" ht="12.75">
      <c r="A162" s="17" t="s">
        <v>157</v>
      </c>
      <c r="B162" s="12" t="s">
        <v>156</v>
      </c>
      <c r="C162" s="9">
        <f t="shared" si="92"/>
        <v>30.799999999999997</v>
      </c>
      <c r="D162" s="17" t="s">
        <v>4</v>
      </c>
      <c r="E162" s="10" t="s">
        <v>155</v>
      </c>
      <c r="F162" s="7">
        <v>0</v>
      </c>
      <c r="G162" s="10">
        <v>15</v>
      </c>
      <c r="H162" s="10"/>
      <c r="I162" s="10"/>
      <c r="J162" s="10"/>
      <c r="K162" s="10" t="s">
        <v>2</v>
      </c>
      <c r="L162" s="10"/>
      <c r="M162" s="10"/>
      <c r="N162" s="3" t="s">
        <v>154</v>
      </c>
      <c r="O162" s="3" t="s">
        <v>944</v>
      </c>
      <c r="P162" s="3" t="s">
        <v>943</v>
      </c>
      <c r="Q162" s="3" t="s">
        <v>943</v>
      </c>
      <c r="R162" s="3" t="s">
        <v>943</v>
      </c>
      <c r="S162" s="9">
        <f>VLOOKUP($D162,Weapon_mode,2,FALSE)+VLOOKUP($E162,Weapon_size,2,FALSE)</f>
        <v>0</v>
      </c>
      <c r="T162" s="9">
        <f>VLOOKUP($D162,Weapon_mode,3,FALSE)++VLOOKUP($E162,Weapon_size,3,FALSE)</f>
        <v>3</v>
      </c>
      <c r="U162" s="9">
        <v>10</v>
      </c>
      <c r="V162" s="9">
        <f t="shared" si="106"/>
        <v>-26</v>
      </c>
      <c r="W162" s="7">
        <v>120</v>
      </c>
      <c r="X162" s="4" t="s">
        <v>21</v>
      </c>
      <c r="Y162" s="8" t="s">
        <v>108</v>
      </c>
      <c r="Z162" s="24">
        <v>5</v>
      </c>
      <c r="AB162" s="5">
        <v>4</v>
      </c>
      <c r="AC162" s="7">
        <f>AB162</f>
        <v>4</v>
      </c>
      <c r="AD162" s="6">
        <f>VLOOKUP(G162,RoF,2,FALSE)</f>
        <v>0.1</v>
      </c>
      <c r="AE162" s="5">
        <v>1</v>
      </c>
      <c r="AF162" s="4">
        <f>AB162/(AD162*AE162)</f>
        <v>40</v>
      </c>
      <c r="AG162" s="4">
        <f>AC162/AD162*IF(H162="Y",raking,1)*IF(I162="Y",Pierce,1)*IF(J162="Y",Sustained,1)*IF(K162="Y",standard,1)*IF(L162="Y",Pulse,1)*IF(M162="Y",Flash,1)</f>
        <v>40</v>
      </c>
      <c r="AH162" s="4">
        <f>VLOOKUP(U162,FireControl,2)</f>
        <v>1.72</v>
      </c>
      <c r="AI162" s="4">
        <f>VLOOKUP(N162,Range,2,FALSE)</f>
        <v>0.5</v>
      </c>
      <c r="AJ162" s="4">
        <f>VLOOKUP(W162,Arc,2,FALSE)</f>
        <v>1</v>
      </c>
      <c r="AK162" s="4">
        <f>VLOOKUP(X162,Interceptable,2,FALSE)</f>
        <v>1.1</v>
      </c>
      <c r="AL162" s="4">
        <f>VLOOKUP(F162,Interceptability,2,FALSE)</f>
        <v>0</v>
      </c>
      <c r="AM162" s="5">
        <v>1</v>
      </c>
      <c r="AO162" s="4">
        <f>MAX(AG162*AH162*AI162*AJ162*AK162*AM162,AL162)+MIN(AG162*AH162*AI162*AJ162*AK162,AL162)/2</f>
        <v>37.84</v>
      </c>
    </row>
    <row r="163" spans="1:41" ht="12.75">
      <c r="A163" s="23" t="s">
        <v>153</v>
      </c>
      <c r="B163" s="12"/>
      <c r="C163" s="9">
        <f t="shared" si="92"/>
        <v>0</v>
      </c>
      <c r="D163" s="17"/>
      <c r="E163" s="3"/>
      <c r="F163" s="7"/>
      <c r="G163" s="3"/>
      <c r="H163" s="3"/>
      <c r="I163" s="3"/>
      <c r="J163" s="3"/>
      <c r="K163" s="3"/>
      <c r="L163" s="3"/>
      <c r="M163" s="3"/>
      <c r="N163" s="10"/>
      <c r="O163" s="10"/>
      <c r="P163" s="10"/>
      <c r="Q163" s="10"/>
      <c r="R163" s="10"/>
      <c r="S163" s="9"/>
      <c r="T163" s="9"/>
      <c r="U163" s="9"/>
      <c r="V163" s="9">
        <f t="shared" si="106"/>
        <v>0</v>
      </c>
      <c r="W163" s="7"/>
      <c r="X163" s="4"/>
      <c r="Y163" s="8"/>
      <c r="Z163" s="5"/>
      <c r="AB163" s="5"/>
      <c r="AC163" s="7"/>
      <c r="AD163" s="6"/>
      <c r="AE163" s="5"/>
      <c r="AF163" s="4"/>
      <c r="AG163" s="4"/>
      <c r="AH163" s="4"/>
      <c r="AI163" s="4"/>
      <c r="AJ163" s="7"/>
      <c r="AK163" s="4"/>
      <c r="AL163" s="4"/>
      <c r="AO163" s="4"/>
    </row>
    <row r="164" spans="1:41" ht="12.75">
      <c r="A164" s="23" t="s">
        <v>152</v>
      </c>
      <c r="B164" s="12"/>
      <c r="C164" s="9">
        <f t="shared" si="92"/>
        <v>0</v>
      </c>
      <c r="D164" s="17"/>
      <c r="E164" s="3"/>
      <c r="F164" s="7"/>
      <c r="G164" s="3"/>
      <c r="H164" s="3"/>
      <c r="I164" s="3"/>
      <c r="J164" s="3"/>
      <c r="K164" s="3"/>
      <c r="L164" s="3"/>
      <c r="M164" s="3"/>
      <c r="N164" s="10"/>
      <c r="O164" s="10"/>
      <c r="P164" s="10"/>
      <c r="Q164" s="10"/>
      <c r="R164" s="10"/>
      <c r="S164" s="9"/>
      <c r="T164" s="9"/>
      <c r="U164" s="9"/>
      <c r="V164" s="9">
        <f t="shared" si="106"/>
        <v>0</v>
      </c>
      <c r="W164" s="7"/>
      <c r="X164" s="4"/>
      <c r="Y164" s="8"/>
      <c r="Z164" s="5"/>
      <c r="AB164" s="5"/>
      <c r="AC164" s="7"/>
      <c r="AD164" s="6"/>
      <c r="AE164" s="5"/>
      <c r="AF164" s="4"/>
      <c r="AG164" s="4"/>
      <c r="AH164" s="4"/>
      <c r="AI164" s="4"/>
      <c r="AJ164" s="7"/>
      <c r="AK164" s="4"/>
      <c r="AL164" s="4"/>
      <c r="AO164" s="4"/>
    </row>
    <row r="165" spans="1:41" ht="12.75">
      <c r="A165" s="17" t="s">
        <v>974</v>
      </c>
      <c r="B165" s="12" t="s">
        <v>973</v>
      </c>
      <c r="C165" s="9">
        <f>AG165*AJ165*AK165*(1+AL165/10)*AM165*(2+V165/20)</f>
        <v>13.828571428571431</v>
      </c>
      <c r="D165" s="17" t="s">
        <v>186</v>
      </c>
      <c r="E165" s="3" t="s">
        <v>12</v>
      </c>
      <c r="F165" s="7">
        <v>0</v>
      </c>
      <c r="G165" s="3" t="s">
        <v>11</v>
      </c>
      <c r="H165" s="3"/>
      <c r="I165" s="3"/>
      <c r="J165" s="3"/>
      <c r="K165" s="3" t="s">
        <v>2</v>
      </c>
      <c r="L165" s="3"/>
      <c r="M165" s="3"/>
      <c r="N165" s="10">
        <v>50</v>
      </c>
      <c r="O165" s="10">
        <v>-5</v>
      </c>
      <c r="P165" s="10">
        <v>-5</v>
      </c>
      <c r="Q165" s="10">
        <v>-5</v>
      </c>
      <c r="R165" s="10">
        <v>-5</v>
      </c>
      <c r="S165" s="9"/>
      <c r="T165" s="9"/>
      <c r="U165" s="9"/>
      <c r="V165" s="9">
        <f t="shared" si="106"/>
        <v>-8</v>
      </c>
      <c r="W165" s="7">
        <v>120</v>
      </c>
      <c r="X165" s="4" t="s">
        <v>21</v>
      </c>
      <c r="Y165" s="8"/>
      <c r="Z165" s="5" t="s">
        <v>975</v>
      </c>
      <c r="AB165" s="5">
        <v>22</v>
      </c>
      <c r="AC165" s="7">
        <v>11</v>
      </c>
      <c r="AD165" s="6">
        <f>VLOOKUP(G165,RoF,2,FALSE)</f>
        <v>1.4</v>
      </c>
      <c r="AE165" s="5">
        <v>1</v>
      </c>
      <c r="AF165" s="4">
        <f>AB165/(AD165*AE165)</f>
        <v>15.714285714285715</v>
      </c>
      <c r="AG165" s="4">
        <f>AC165/AD165*IF(H165="Y",raking,1)*IF(I165="Y",Pierce,1)*IF(J165="Y",Sustained,1)*IF(K165="Y",standard,1)*IF(L165="Y",Pulse,1)*IF(M165="Y",Flash,1)</f>
        <v>7.857142857142858</v>
      </c>
      <c r="AH165" s="4">
        <f>VLOOKUP(U165,FireControl,2)</f>
        <v>1</v>
      </c>
      <c r="AI165" s="4">
        <f>VLOOKUP(N165,Range,2,FALSE)</f>
        <v>2.1</v>
      </c>
      <c r="AJ165" s="4">
        <f>VLOOKUP(W165,Arc,2,FALSE)</f>
        <v>1</v>
      </c>
      <c r="AK165" s="4">
        <f>VLOOKUP(X165,Interceptable,2,FALSE)</f>
        <v>1.1</v>
      </c>
      <c r="AL165" s="4">
        <f>VLOOKUP(F165,Interceptability,2,FALSE)</f>
        <v>0</v>
      </c>
      <c r="AM165" s="5">
        <v>1</v>
      </c>
      <c r="AO165" s="4"/>
    </row>
    <row r="166" spans="1:41" ht="12.75">
      <c r="A166" s="22" t="s">
        <v>151</v>
      </c>
      <c r="B166" s="12"/>
      <c r="C166" s="9">
        <f t="shared" si="92"/>
        <v>0</v>
      </c>
      <c r="D166" s="17"/>
      <c r="E166" s="3"/>
      <c r="F166" s="7"/>
      <c r="G166" s="3"/>
      <c r="H166" s="3"/>
      <c r="I166" s="3"/>
      <c r="J166" s="3"/>
      <c r="K166" s="3"/>
      <c r="L166" s="3"/>
      <c r="M166" s="3"/>
      <c r="N166" s="10"/>
      <c r="O166" s="10"/>
      <c r="P166" s="10"/>
      <c r="Q166" s="10"/>
      <c r="R166" s="10"/>
      <c r="S166" s="9"/>
      <c r="T166" s="9"/>
      <c r="U166" s="9"/>
      <c r="V166" s="9">
        <f t="shared" si="106"/>
        <v>0</v>
      </c>
      <c r="W166" s="7"/>
      <c r="X166" s="4"/>
      <c r="Y166" s="8"/>
      <c r="Z166" s="5" t="s">
        <v>976</v>
      </c>
      <c r="AB166" s="5"/>
      <c r="AC166" s="7"/>
      <c r="AD166" s="6"/>
      <c r="AE166" s="5"/>
      <c r="AF166" s="4"/>
      <c r="AG166" s="4"/>
      <c r="AH166" s="4"/>
      <c r="AI166" s="4"/>
      <c r="AJ166" s="7"/>
      <c r="AK166" s="4"/>
      <c r="AL166" s="4"/>
      <c r="AO166" s="4"/>
    </row>
    <row r="167" spans="1:41" ht="12.75">
      <c r="A167" s="17" t="s">
        <v>150</v>
      </c>
      <c r="B167" s="12" t="s">
        <v>149</v>
      </c>
      <c r="C167" s="9">
        <f t="shared" si="92"/>
        <v>16</v>
      </c>
      <c r="D167" s="17" t="s">
        <v>45</v>
      </c>
      <c r="E167" s="17" t="s">
        <v>45</v>
      </c>
      <c r="F167" s="7">
        <v>0</v>
      </c>
      <c r="G167" s="3" t="s">
        <v>146</v>
      </c>
      <c r="H167" s="3"/>
      <c r="I167" s="3"/>
      <c r="J167" s="3"/>
      <c r="K167" s="3" t="s">
        <v>2</v>
      </c>
      <c r="L167" s="3"/>
      <c r="M167" s="3"/>
      <c r="N167" s="3">
        <v>25</v>
      </c>
      <c r="O167" s="10">
        <v>0</v>
      </c>
      <c r="P167" s="10">
        <v>0</v>
      </c>
      <c r="Q167" s="10">
        <v>0</v>
      </c>
      <c r="R167" s="10">
        <v>0</v>
      </c>
      <c r="S167" s="9">
        <f aca="true" t="shared" si="121" ref="S167:S172">VLOOKUP($D167,Weapon_mode,2,FALSE)+VLOOKUP($E167,Weapon_size,2,FALSE)</f>
        <v>0</v>
      </c>
      <c r="T167" s="9">
        <f aca="true" t="shared" si="122" ref="T167:T172">VLOOKUP($D167,Weapon_mode,3,FALSE)++VLOOKUP($E167,Weapon_size,3,FALSE)</f>
        <v>0</v>
      </c>
      <c r="U167" s="9">
        <f aca="true" t="shared" si="123" ref="U167:U172">VLOOKUP($D167,Weapon_mode,4,FALSE)+VLOOKUP($E167,Weapon_size,4,FALSE)</f>
        <v>0</v>
      </c>
      <c r="V167" s="9">
        <f t="shared" si="106"/>
        <v>0</v>
      </c>
      <c r="W167" s="7">
        <v>120</v>
      </c>
      <c r="X167" s="4" t="s">
        <v>109</v>
      </c>
      <c r="Y167" s="8" t="s">
        <v>0</v>
      </c>
      <c r="Z167" s="3" t="str">
        <f aca="true" t="shared" si="124" ref="Z167:Z172">Y167</f>
        <v>2d10</v>
      </c>
      <c r="AB167" s="5">
        <v>11</v>
      </c>
      <c r="AC167" s="7">
        <f>AB167-4</f>
        <v>7</v>
      </c>
      <c r="AD167" s="6">
        <f aca="true" t="shared" si="125" ref="AD167:AD172">VLOOKUP(G167,RoF,2,FALSE)</f>
        <v>0.7</v>
      </c>
      <c r="AE167" s="5">
        <v>6</v>
      </c>
      <c r="AF167" s="4">
        <f aca="true" t="shared" si="126" ref="AF167:AF172">AB167/(AD167*AE167)</f>
        <v>2.6190476190476195</v>
      </c>
      <c r="AG167" s="4">
        <f aca="true" t="shared" si="127" ref="AG167:AG172">AC167/AD167*IF(H167="Y",raking,1)*IF(I167="Y",Pierce,1)*IF(J167="Y",Sustained,1)*IF(K167="Y",standard,1)*IF(L167="Y",Pulse,1)*IF(M167="Y",Flash,1)</f>
        <v>10</v>
      </c>
      <c r="AH167" s="4">
        <f aca="true" t="shared" si="128" ref="AH167:AH172">VLOOKUP(S167,FireControl,2)</f>
        <v>1</v>
      </c>
      <c r="AI167" s="4">
        <f aca="true" t="shared" si="129" ref="AI167:AI172">VLOOKUP(N167,Range,2,FALSE)</f>
        <v>1.85</v>
      </c>
      <c r="AJ167" s="4">
        <f aca="true" t="shared" si="130" ref="AJ167:AJ172">VLOOKUP(W167,Arc,2,FALSE)</f>
        <v>1</v>
      </c>
      <c r="AK167" s="4">
        <f aca="true" t="shared" si="131" ref="AK167:AK172">VLOOKUP(X167,Interceptable,2,FALSE)</f>
        <v>0.8</v>
      </c>
      <c r="AL167" s="4">
        <f aca="true" t="shared" si="132" ref="AL167:AL172">VLOOKUP(F167,Interceptability,2,FALSE)</f>
        <v>0</v>
      </c>
      <c r="AM167" s="5">
        <v>1</v>
      </c>
      <c r="AO167" s="4">
        <f aca="true" t="shared" si="133" ref="AO167:AO172">MAX(AG167*AH167*AI167*AJ167*AK167*AM167,AL167)+MIN(AG167*AH167*AI167*AJ167*AK167,AL167)/2</f>
        <v>14.8</v>
      </c>
    </row>
    <row r="168" spans="1:41" ht="12.75">
      <c r="A168" s="17" t="s">
        <v>148</v>
      </c>
      <c r="B168" s="12" t="s">
        <v>147</v>
      </c>
      <c r="C168" s="9">
        <f t="shared" si="92"/>
        <v>6.857142857142858</v>
      </c>
      <c r="D168" s="17" t="s">
        <v>45</v>
      </c>
      <c r="E168" s="17" t="s">
        <v>45</v>
      </c>
      <c r="F168" s="7">
        <v>0</v>
      </c>
      <c r="G168" s="3" t="s">
        <v>146</v>
      </c>
      <c r="H168" s="3"/>
      <c r="I168" s="3"/>
      <c r="J168" s="3"/>
      <c r="K168" s="3" t="s">
        <v>2</v>
      </c>
      <c r="L168" s="3"/>
      <c r="M168" s="3"/>
      <c r="N168" s="3">
        <v>25</v>
      </c>
      <c r="O168" s="10">
        <v>0</v>
      </c>
      <c r="P168" s="10">
        <v>0</v>
      </c>
      <c r="Q168" s="10">
        <v>0</v>
      </c>
      <c r="R168" s="10">
        <v>0</v>
      </c>
      <c r="S168" s="9">
        <f t="shared" si="121"/>
        <v>0</v>
      </c>
      <c r="T168" s="9">
        <f t="shared" si="122"/>
        <v>0</v>
      </c>
      <c r="U168" s="9">
        <f t="shared" si="123"/>
        <v>0</v>
      </c>
      <c r="V168" s="9">
        <f t="shared" si="106"/>
        <v>0</v>
      </c>
      <c r="W168" s="7">
        <v>120</v>
      </c>
      <c r="X168" s="4" t="s">
        <v>109</v>
      </c>
      <c r="Y168" s="8" t="s">
        <v>145</v>
      </c>
      <c r="Z168" s="3" t="str">
        <f t="shared" si="124"/>
        <v>2d6</v>
      </c>
      <c r="AB168" s="5">
        <v>7</v>
      </c>
      <c r="AC168" s="7">
        <f>AB168-4</f>
        <v>3</v>
      </c>
      <c r="AD168" s="6">
        <f t="shared" si="125"/>
        <v>0.7</v>
      </c>
      <c r="AE168" s="5"/>
      <c r="AF168" s="4" t="e">
        <f t="shared" si="126"/>
        <v>#DIV/0!</v>
      </c>
      <c r="AG168" s="4">
        <f t="shared" si="127"/>
        <v>4.285714285714286</v>
      </c>
      <c r="AH168" s="4">
        <f t="shared" si="128"/>
        <v>1</v>
      </c>
      <c r="AI168" s="4">
        <f t="shared" si="129"/>
        <v>1.85</v>
      </c>
      <c r="AJ168" s="4">
        <f t="shared" si="130"/>
        <v>1</v>
      </c>
      <c r="AK168" s="4">
        <f t="shared" si="131"/>
        <v>0.8</v>
      </c>
      <c r="AL168" s="4">
        <f t="shared" si="132"/>
        <v>0</v>
      </c>
      <c r="AM168" s="5">
        <v>1</v>
      </c>
      <c r="AO168" s="4">
        <f t="shared" si="133"/>
        <v>6.342857142857143</v>
      </c>
    </row>
    <row r="169" spans="1:41" ht="12.75">
      <c r="A169" s="17" t="s">
        <v>144</v>
      </c>
      <c r="B169" s="12" t="s">
        <v>143</v>
      </c>
      <c r="C169" s="9">
        <f t="shared" si="92"/>
        <v>12.571428571428573</v>
      </c>
      <c r="D169" s="17" t="s">
        <v>45</v>
      </c>
      <c r="E169" s="17" t="s">
        <v>45</v>
      </c>
      <c r="F169" s="7">
        <v>0</v>
      </c>
      <c r="G169" s="3" t="s">
        <v>11</v>
      </c>
      <c r="H169" s="3"/>
      <c r="I169" s="3"/>
      <c r="J169" s="3"/>
      <c r="K169" s="3" t="s">
        <v>2</v>
      </c>
      <c r="L169" s="3"/>
      <c r="M169" s="3"/>
      <c r="N169" s="10">
        <v>50</v>
      </c>
      <c r="O169" s="10">
        <v>0</v>
      </c>
      <c r="P169" s="10">
        <v>0</v>
      </c>
      <c r="Q169" s="10">
        <v>0</v>
      </c>
      <c r="R169" s="10">
        <v>0</v>
      </c>
      <c r="S169" s="9">
        <f t="shared" si="121"/>
        <v>0</v>
      </c>
      <c r="T169" s="9">
        <f t="shared" si="122"/>
        <v>0</v>
      </c>
      <c r="U169" s="9">
        <f t="shared" si="123"/>
        <v>0</v>
      </c>
      <c r="V169" s="9">
        <f t="shared" si="106"/>
        <v>0</v>
      </c>
      <c r="W169" s="7">
        <v>120</v>
      </c>
      <c r="X169" s="4" t="s">
        <v>109</v>
      </c>
      <c r="Y169" s="8" t="s">
        <v>117</v>
      </c>
      <c r="Z169" s="3" t="str">
        <f t="shared" si="124"/>
        <v>15</v>
      </c>
      <c r="AB169" s="5">
        <v>15</v>
      </c>
      <c r="AC169" s="7">
        <f>AB169-4</f>
        <v>11</v>
      </c>
      <c r="AD169" s="6">
        <f t="shared" si="125"/>
        <v>1.4</v>
      </c>
      <c r="AE169" s="5"/>
      <c r="AF169" s="4" t="e">
        <f t="shared" si="126"/>
        <v>#DIV/0!</v>
      </c>
      <c r="AG169" s="4">
        <f t="shared" si="127"/>
        <v>7.857142857142858</v>
      </c>
      <c r="AH169" s="4">
        <f t="shared" si="128"/>
        <v>1</v>
      </c>
      <c r="AI169" s="4">
        <f t="shared" si="129"/>
        <v>2.1</v>
      </c>
      <c r="AJ169" s="4">
        <f t="shared" si="130"/>
        <v>1</v>
      </c>
      <c r="AK169" s="4">
        <f t="shared" si="131"/>
        <v>0.8</v>
      </c>
      <c r="AL169" s="4">
        <f t="shared" si="132"/>
        <v>0</v>
      </c>
      <c r="AM169" s="5">
        <v>1</v>
      </c>
      <c r="AO169" s="4">
        <f t="shared" si="133"/>
        <v>13.200000000000001</v>
      </c>
    </row>
    <row r="170" spans="1:41" ht="12.75">
      <c r="A170" s="17" t="s">
        <v>142</v>
      </c>
      <c r="B170" s="12" t="s">
        <v>141</v>
      </c>
      <c r="C170" s="9">
        <f t="shared" si="92"/>
        <v>9.600000000000001</v>
      </c>
      <c r="D170" s="17" t="s">
        <v>45</v>
      </c>
      <c r="E170" s="17" t="s">
        <v>45</v>
      </c>
      <c r="F170" s="7">
        <v>0</v>
      </c>
      <c r="G170" s="3" t="s">
        <v>3</v>
      </c>
      <c r="H170" s="3"/>
      <c r="I170" s="3"/>
      <c r="J170" s="3"/>
      <c r="K170" s="3" t="s">
        <v>2</v>
      </c>
      <c r="L170" s="3"/>
      <c r="M170" s="3"/>
      <c r="N170" s="3">
        <v>25</v>
      </c>
      <c r="O170" s="10">
        <v>0</v>
      </c>
      <c r="P170" s="10">
        <v>0</v>
      </c>
      <c r="Q170" s="10">
        <v>0</v>
      </c>
      <c r="R170" s="10">
        <v>0</v>
      </c>
      <c r="S170" s="9">
        <f t="shared" si="121"/>
        <v>0</v>
      </c>
      <c r="T170" s="9">
        <f t="shared" si="122"/>
        <v>0</v>
      </c>
      <c r="U170" s="9">
        <f t="shared" si="123"/>
        <v>0</v>
      </c>
      <c r="V170" s="9">
        <f t="shared" si="106"/>
        <v>0</v>
      </c>
      <c r="W170" s="7">
        <v>120</v>
      </c>
      <c r="X170" s="4" t="s">
        <v>109</v>
      </c>
      <c r="Y170" s="8" t="s">
        <v>140</v>
      </c>
      <c r="Z170" s="3" t="str">
        <f t="shared" si="124"/>
        <v>10</v>
      </c>
      <c r="AB170" s="5">
        <v>10</v>
      </c>
      <c r="AC170" s="7">
        <f>AB170-4</f>
        <v>6</v>
      </c>
      <c r="AD170" s="6">
        <f t="shared" si="125"/>
        <v>1</v>
      </c>
      <c r="AE170" s="5"/>
      <c r="AF170" s="4" t="e">
        <f t="shared" si="126"/>
        <v>#DIV/0!</v>
      </c>
      <c r="AG170" s="4">
        <f t="shared" si="127"/>
        <v>6</v>
      </c>
      <c r="AH170" s="4">
        <f t="shared" si="128"/>
        <v>1</v>
      </c>
      <c r="AI170" s="4">
        <f t="shared" si="129"/>
        <v>1.85</v>
      </c>
      <c r="AJ170" s="4">
        <f t="shared" si="130"/>
        <v>1</v>
      </c>
      <c r="AK170" s="4">
        <f t="shared" si="131"/>
        <v>0.8</v>
      </c>
      <c r="AL170" s="4">
        <f t="shared" si="132"/>
        <v>0</v>
      </c>
      <c r="AM170" s="5">
        <v>1</v>
      </c>
      <c r="AO170" s="4">
        <f t="shared" si="133"/>
        <v>8.88</v>
      </c>
    </row>
    <row r="171" spans="1:41" ht="12.75">
      <c r="A171" s="17" t="s">
        <v>139</v>
      </c>
      <c r="B171" s="12" t="s">
        <v>138</v>
      </c>
      <c r="C171" s="9">
        <f t="shared" si="92"/>
        <v>19.42857142857143</v>
      </c>
      <c r="D171" s="17" t="s">
        <v>45</v>
      </c>
      <c r="E171" s="17" t="s">
        <v>45</v>
      </c>
      <c r="F171" s="7">
        <v>0</v>
      </c>
      <c r="G171" s="3" t="s">
        <v>11</v>
      </c>
      <c r="H171" s="3"/>
      <c r="I171" s="3"/>
      <c r="J171" s="3"/>
      <c r="K171" s="3" t="s">
        <v>2</v>
      </c>
      <c r="L171" s="3"/>
      <c r="M171" s="3"/>
      <c r="N171" s="16" t="s">
        <v>11</v>
      </c>
      <c r="O171" s="10">
        <v>0</v>
      </c>
      <c r="P171" s="10">
        <v>0</v>
      </c>
      <c r="Q171" s="10">
        <v>0</v>
      </c>
      <c r="R171" s="10">
        <v>0</v>
      </c>
      <c r="S171" s="9">
        <f t="shared" si="121"/>
        <v>0</v>
      </c>
      <c r="T171" s="9">
        <f t="shared" si="122"/>
        <v>0</v>
      </c>
      <c r="U171" s="9">
        <f t="shared" si="123"/>
        <v>0</v>
      </c>
      <c r="V171" s="9">
        <f t="shared" si="106"/>
        <v>0</v>
      </c>
      <c r="W171" s="7">
        <v>120</v>
      </c>
      <c r="X171" s="4" t="s">
        <v>109</v>
      </c>
      <c r="Y171" s="8" t="s">
        <v>137</v>
      </c>
      <c r="Z171" s="3" t="str">
        <f t="shared" si="124"/>
        <v>2d10+10</v>
      </c>
      <c r="AB171" s="5">
        <v>21</v>
      </c>
      <c r="AC171" s="7">
        <f>AB171-4</f>
        <v>17</v>
      </c>
      <c r="AD171" s="6">
        <f t="shared" si="125"/>
        <v>1.4</v>
      </c>
      <c r="AE171" s="5">
        <v>5</v>
      </c>
      <c r="AF171" s="4">
        <f t="shared" si="126"/>
        <v>3</v>
      </c>
      <c r="AG171" s="4">
        <f t="shared" si="127"/>
        <v>12.142857142857144</v>
      </c>
      <c r="AH171" s="4">
        <f t="shared" si="128"/>
        <v>1</v>
      </c>
      <c r="AI171" s="4">
        <f t="shared" si="129"/>
        <v>1.4</v>
      </c>
      <c r="AJ171" s="4">
        <f t="shared" si="130"/>
        <v>1</v>
      </c>
      <c r="AK171" s="4">
        <f t="shared" si="131"/>
        <v>0.8</v>
      </c>
      <c r="AL171" s="4">
        <f t="shared" si="132"/>
        <v>0</v>
      </c>
      <c r="AM171" s="5">
        <v>1</v>
      </c>
      <c r="AO171" s="4">
        <f t="shared" si="133"/>
        <v>13.600000000000001</v>
      </c>
    </row>
    <row r="172" spans="1:41" ht="12.75">
      <c r="A172" s="17" t="s">
        <v>136</v>
      </c>
      <c r="B172" s="12" t="s">
        <v>135</v>
      </c>
      <c r="C172" s="9">
        <f t="shared" si="92"/>
        <v>33.44</v>
      </c>
      <c r="D172" s="17" t="s">
        <v>45</v>
      </c>
      <c r="E172" s="3" t="s">
        <v>12</v>
      </c>
      <c r="F172" s="7">
        <v>0</v>
      </c>
      <c r="G172" s="3" t="s">
        <v>134</v>
      </c>
      <c r="H172" s="3"/>
      <c r="I172" s="3"/>
      <c r="J172" s="3"/>
      <c r="K172" s="3"/>
      <c r="L172" s="3"/>
      <c r="M172" s="3" t="s">
        <v>2</v>
      </c>
      <c r="N172" s="10">
        <v>25</v>
      </c>
      <c r="O172" s="10">
        <v>0</v>
      </c>
      <c r="P172" s="10">
        <v>0</v>
      </c>
      <c r="Q172" s="10">
        <v>0</v>
      </c>
      <c r="R172" s="10">
        <v>0</v>
      </c>
      <c r="S172" s="9">
        <f t="shared" si="121"/>
        <v>0</v>
      </c>
      <c r="T172" s="9">
        <f t="shared" si="122"/>
        <v>0</v>
      </c>
      <c r="U172" s="9">
        <f t="shared" si="123"/>
        <v>0</v>
      </c>
      <c r="V172" s="9">
        <f t="shared" si="106"/>
        <v>0</v>
      </c>
      <c r="W172" s="7">
        <v>120</v>
      </c>
      <c r="X172" s="4" t="s">
        <v>109</v>
      </c>
      <c r="Y172" s="8" t="s">
        <v>133</v>
      </c>
      <c r="Z172" s="3" t="str">
        <f t="shared" si="124"/>
        <v>9d10+20</v>
      </c>
      <c r="AA172" t="s">
        <v>132</v>
      </c>
      <c r="AB172" s="5">
        <v>68</v>
      </c>
      <c r="AC172" s="7">
        <f>AB172-2</f>
        <v>66</v>
      </c>
      <c r="AD172" s="6">
        <f t="shared" si="125"/>
        <v>3</v>
      </c>
      <c r="AE172" s="5">
        <v>12</v>
      </c>
      <c r="AF172" s="4">
        <f t="shared" si="126"/>
        <v>1.8888888888888888</v>
      </c>
      <c r="AG172" s="4">
        <f t="shared" si="127"/>
        <v>20.9</v>
      </c>
      <c r="AH172" s="4">
        <f t="shared" si="128"/>
        <v>1</v>
      </c>
      <c r="AI172" s="4">
        <f t="shared" si="129"/>
        <v>1.85</v>
      </c>
      <c r="AJ172" s="4">
        <f t="shared" si="130"/>
        <v>1</v>
      </c>
      <c r="AK172" s="4">
        <f t="shared" si="131"/>
        <v>0.8</v>
      </c>
      <c r="AL172" s="4">
        <f t="shared" si="132"/>
        <v>0</v>
      </c>
      <c r="AM172" s="5">
        <v>1</v>
      </c>
      <c r="AO172" s="4">
        <f t="shared" si="133"/>
        <v>30.932000000000002</v>
      </c>
    </row>
    <row r="173" spans="3:41" ht="12.75">
      <c r="C173" s="9">
        <f t="shared" si="92"/>
        <v>0</v>
      </c>
      <c r="D173" s="17"/>
      <c r="E173" s="3"/>
      <c r="F173" s="7"/>
      <c r="G173" s="3"/>
      <c r="H173" s="3"/>
      <c r="I173" s="3"/>
      <c r="J173" s="3"/>
      <c r="K173" s="3"/>
      <c r="L173" s="3"/>
      <c r="M173" s="3"/>
      <c r="N173" s="10"/>
      <c r="O173" s="10"/>
      <c r="P173" s="10"/>
      <c r="Q173" s="10"/>
      <c r="R173" s="10"/>
      <c r="S173" s="9"/>
      <c r="T173" s="9"/>
      <c r="U173" s="9"/>
      <c r="V173" s="9">
        <f t="shared" si="106"/>
        <v>0</v>
      </c>
      <c r="W173" s="7"/>
      <c r="X173" s="4"/>
      <c r="Y173" s="8"/>
      <c r="Z173" s="3"/>
      <c r="AB173" s="5"/>
      <c r="AC173" s="7"/>
      <c r="AD173" s="6"/>
      <c r="AE173" s="5"/>
      <c r="AF173" s="4"/>
      <c r="AG173" s="4"/>
      <c r="AH173" s="4"/>
      <c r="AI173" s="4"/>
      <c r="AJ173" s="7"/>
      <c r="AK173" s="4"/>
      <c r="AL173" s="4"/>
      <c r="AO173" s="4"/>
    </row>
    <row r="174" spans="1:41" ht="12.75">
      <c r="A174" s="22" t="s">
        <v>130</v>
      </c>
      <c r="B174" s="12"/>
      <c r="C174" s="9">
        <f t="shared" si="92"/>
        <v>0</v>
      </c>
      <c r="E174" s="3"/>
      <c r="F174" s="7"/>
      <c r="G174" s="5"/>
      <c r="H174" s="5"/>
      <c r="I174" s="5"/>
      <c r="J174" s="5"/>
      <c r="K174" s="5"/>
      <c r="L174" s="5"/>
      <c r="M174" s="5"/>
      <c r="N174" s="10"/>
      <c r="O174" s="10"/>
      <c r="P174" s="10"/>
      <c r="Q174" s="10"/>
      <c r="R174" s="10"/>
      <c r="S174" s="9"/>
      <c r="T174" s="9"/>
      <c r="U174" s="9"/>
      <c r="V174" s="9">
        <f t="shared" si="106"/>
        <v>0</v>
      </c>
      <c r="W174" s="7"/>
      <c r="X174" s="4"/>
      <c r="Y174" s="14"/>
      <c r="Z174" s="5"/>
      <c r="AB174" s="5"/>
      <c r="AC174" s="7"/>
      <c r="AD174" s="6"/>
      <c r="AE174" s="5"/>
      <c r="AF174" s="4"/>
      <c r="AG174" s="4"/>
      <c r="AH174" s="4"/>
      <c r="AI174" s="4"/>
      <c r="AJ174" s="7"/>
      <c r="AK174" s="4"/>
      <c r="AL174" s="4"/>
      <c r="AO174" s="4"/>
    </row>
    <row r="175" spans="1:41" ht="12.75">
      <c r="A175" s="17" t="s">
        <v>129</v>
      </c>
      <c r="B175" s="12" t="s">
        <v>128</v>
      </c>
      <c r="C175" s="9">
        <f aca="true" t="shared" si="134" ref="C175:C240">AG175*AJ175*AK175*(1+AL175/10)*AM175*(2+V175/20)</f>
        <v>18.28571428571429</v>
      </c>
      <c r="D175" s="17" t="s">
        <v>45</v>
      </c>
      <c r="E175" s="17" t="s">
        <v>45</v>
      </c>
      <c r="F175" s="7">
        <v>0</v>
      </c>
      <c r="G175" s="3" t="s">
        <v>11</v>
      </c>
      <c r="H175" s="3"/>
      <c r="I175" s="3"/>
      <c r="J175" s="3"/>
      <c r="K175" s="3" t="s">
        <v>2</v>
      </c>
      <c r="L175" s="3"/>
      <c r="M175" s="3"/>
      <c r="N175" s="3">
        <v>20</v>
      </c>
      <c r="O175" s="10">
        <v>0</v>
      </c>
      <c r="P175" s="10">
        <v>0</v>
      </c>
      <c r="Q175" s="10">
        <v>0</v>
      </c>
      <c r="R175" s="10">
        <v>0</v>
      </c>
      <c r="S175" s="9">
        <f aca="true" t="shared" si="135" ref="S175:S182">VLOOKUP($D175,Weapon_mode,2,FALSE)+VLOOKUP($E175,Weapon_size,2,FALSE)</f>
        <v>0</v>
      </c>
      <c r="T175" s="9">
        <f aca="true" t="shared" si="136" ref="T175:T182">VLOOKUP($D175,Weapon_mode,3,FALSE)++VLOOKUP($E175,Weapon_size,3,FALSE)</f>
        <v>0</v>
      </c>
      <c r="U175" s="9">
        <f aca="true" t="shared" si="137" ref="U175:U182">VLOOKUP($D175,Weapon_mode,4,FALSE)+VLOOKUP($E175,Weapon_size,4,FALSE)</f>
        <v>0</v>
      </c>
      <c r="V175" s="9">
        <f t="shared" si="106"/>
        <v>0</v>
      </c>
      <c r="W175" s="7">
        <v>120</v>
      </c>
      <c r="X175" s="4" t="s">
        <v>109</v>
      </c>
      <c r="Y175" s="8" t="s">
        <v>112</v>
      </c>
      <c r="Z175" s="3" t="str">
        <f>Y175</f>
        <v>20</v>
      </c>
      <c r="AB175" s="3" t="s">
        <v>112</v>
      </c>
      <c r="AC175" s="7">
        <f>AB175-4</f>
        <v>16</v>
      </c>
      <c r="AD175" s="6">
        <f aca="true" t="shared" si="138" ref="AD175:AD182">VLOOKUP(G175,RoF,2,FALSE)</f>
        <v>1.4</v>
      </c>
      <c r="AE175" s="5"/>
      <c r="AF175" s="4" t="s">
        <v>124</v>
      </c>
      <c r="AG175" s="4">
        <f aca="true" t="shared" si="139" ref="AG175:AG182">AC175/AD175*IF(H175="Y",raking,1)*IF(I175="Y",Pierce,1)*IF(J175="Y",Sustained,1)*IF(K175="Y",standard,1)*IF(L175="Y",Pulse,1)*IF(M175="Y",Flash,1)</f>
        <v>11.428571428571429</v>
      </c>
      <c r="AH175" s="4">
        <f aca="true" t="shared" si="140" ref="AH175:AH182">VLOOKUP(S175,FireControl,2)</f>
        <v>1</v>
      </c>
      <c r="AI175" s="4">
        <f aca="true" t="shared" si="141" ref="AI175:AI182">VLOOKUP(N175,Range,2,FALSE)</f>
        <v>1.8</v>
      </c>
      <c r="AJ175" s="4">
        <f aca="true" t="shared" si="142" ref="AJ175:AJ182">VLOOKUP(W175,Arc,2,FALSE)</f>
        <v>1</v>
      </c>
      <c r="AK175" s="4">
        <f aca="true" t="shared" si="143" ref="AK175:AK182">VLOOKUP(X175,Interceptable,2,FALSE)</f>
        <v>0.8</v>
      </c>
      <c r="AL175" s="4">
        <f aca="true" t="shared" si="144" ref="AL175:AL182">VLOOKUP(F175,Interceptability,2,FALSE)</f>
        <v>0</v>
      </c>
      <c r="AM175" s="5">
        <v>1</v>
      </c>
      <c r="AO175" s="4">
        <f aca="true" t="shared" si="145" ref="AO175:AO182">MAX(AG175*AH175*AI175*AJ175*AK175*AM175,AL175)+MIN(AG175*AH175*AI175*AJ175*AK175,AL175)/2</f>
        <v>16.45714285714286</v>
      </c>
    </row>
    <row r="176" spans="1:41" ht="12.75">
      <c r="A176" s="17" t="s">
        <v>127</v>
      </c>
      <c r="B176" s="12" t="s">
        <v>126</v>
      </c>
      <c r="C176" s="9">
        <f t="shared" si="134"/>
        <v>8</v>
      </c>
      <c r="D176" s="17" t="s">
        <v>45</v>
      </c>
      <c r="E176" s="17" t="s">
        <v>45</v>
      </c>
      <c r="F176" s="7">
        <v>0</v>
      </c>
      <c r="G176" s="3" t="s">
        <v>3</v>
      </c>
      <c r="H176" s="3"/>
      <c r="I176" s="3"/>
      <c r="J176" s="3"/>
      <c r="K176" s="3" t="s">
        <v>2</v>
      </c>
      <c r="L176" s="3"/>
      <c r="M176" s="3"/>
      <c r="N176" s="3">
        <v>15</v>
      </c>
      <c r="O176" s="10">
        <v>0</v>
      </c>
      <c r="P176" s="10">
        <v>0</v>
      </c>
      <c r="Q176" s="10">
        <v>0</v>
      </c>
      <c r="R176" s="10">
        <v>0</v>
      </c>
      <c r="S176" s="9">
        <f t="shared" si="135"/>
        <v>0</v>
      </c>
      <c r="T176" s="9">
        <f t="shared" si="136"/>
        <v>0</v>
      </c>
      <c r="U176" s="9">
        <f t="shared" si="137"/>
        <v>0</v>
      </c>
      <c r="V176" s="9">
        <f t="shared" si="106"/>
        <v>0</v>
      </c>
      <c r="W176" s="7">
        <v>120</v>
      </c>
      <c r="X176" s="4" t="s">
        <v>109</v>
      </c>
      <c r="Y176" s="8" t="s">
        <v>117</v>
      </c>
      <c r="Z176" s="3" t="s">
        <v>125</v>
      </c>
      <c r="AB176" s="3" t="s">
        <v>125</v>
      </c>
      <c r="AC176" s="7">
        <v>5</v>
      </c>
      <c r="AD176" s="6">
        <f t="shared" si="138"/>
        <v>1</v>
      </c>
      <c r="AE176" s="5"/>
      <c r="AF176" s="4" t="s">
        <v>124</v>
      </c>
      <c r="AG176" s="4">
        <f t="shared" si="139"/>
        <v>5</v>
      </c>
      <c r="AH176" s="4">
        <f t="shared" si="140"/>
        <v>1</v>
      </c>
      <c r="AI176" s="4">
        <f t="shared" si="141"/>
        <v>1.7</v>
      </c>
      <c r="AJ176" s="4">
        <f t="shared" si="142"/>
        <v>1</v>
      </c>
      <c r="AK176" s="4">
        <f t="shared" si="143"/>
        <v>0.8</v>
      </c>
      <c r="AL176" s="4">
        <f t="shared" si="144"/>
        <v>0</v>
      </c>
      <c r="AM176" s="5">
        <v>1</v>
      </c>
      <c r="AO176" s="4">
        <f t="shared" si="145"/>
        <v>6.800000000000001</v>
      </c>
    </row>
    <row r="177" spans="1:41" ht="12.75">
      <c r="A177" s="17" t="s">
        <v>123</v>
      </c>
      <c r="B177" s="12" t="s">
        <v>122</v>
      </c>
      <c r="C177" s="9">
        <f t="shared" si="134"/>
        <v>17.371428571428574</v>
      </c>
      <c r="D177" s="17" t="s">
        <v>45</v>
      </c>
      <c r="E177" s="17" t="s">
        <v>45</v>
      </c>
      <c r="F177" s="7">
        <v>0</v>
      </c>
      <c r="G177" s="3" t="s">
        <v>11</v>
      </c>
      <c r="H177" s="3"/>
      <c r="I177" s="3"/>
      <c r="J177" s="3"/>
      <c r="K177" s="3"/>
      <c r="L177" s="3"/>
      <c r="M177" s="3" t="s">
        <v>2</v>
      </c>
      <c r="N177" s="10">
        <v>20</v>
      </c>
      <c r="O177" s="10">
        <v>0</v>
      </c>
      <c r="P177" s="10">
        <v>0</v>
      </c>
      <c r="Q177" s="10">
        <v>0</v>
      </c>
      <c r="R177" s="10">
        <v>0</v>
      </c>
      <c r="S177" s="9">
        <f t="shared" si="135"/>
        <v>0</v>
      </c>
      <c r="T177" s="9">
        <f t="shared" si="136"/>
        <v>0</v>
      </c>
      <c r="U177" s="9">
        <f t="shared" si="137"/>
        <v>0</v>
      </c>
      <c r="V177" s="9">
        <f t="shared" si="106"/>
        <v>0</v>
      </c>
      <c r="W177" s="7">
        <v>120</v>
      </c>
      <c r="X177" s="4" t="s">
        <v>109</v>
      </c>
      <c r="Y177" s="8"/>
      <c r="Z177" s="3" t="s">
        <v>112</v>
      </c>
      <c r="AB177" s="3" t="s">
        <v>112</v>
      </c>
      <c r="AC177" s="7">
        <f aca="true" t="shared" si="146" ref="AC177:AC182">AB177-4</f>
        <v>16</v>
      </c>
      <c r="AD177" s="6">
        <f t="shared" si="138"/>
        <v>1.4</v>
      </c>
      <c r="AE177" s="5"/>
      <c r="AF177" s="4"/>
      <c r="AG177" s="4">
        <f t="shared" si="139"/>
        <v>10.857142857142858</v>
      </c>
      <c r="AH177" s="4">
        <f t="shared" si="140"/>
        <v>1</v>
      </c>
      <c r="AI177" s="4">
        <f t="shared" si="141"/>
        <v>1.8</v>
      </c>
      <c r="AJ177" s="4">
        <f t="shared" si="142"/>
        <v>1</v>
      </c>
      <c r="AK177" s="4">
        <f t="shared" si="143"/>
        <v>0.8</v>
      </c>
      <c r="AL177" s="4">
        <f t="shared" si="144"/>
        <v>0</v>
      </c>
      <c r="AM177" s="5">
        <v>1</v>
      </c>
      <c r="AO177" s="4">
        <f t="shared" si="145"/>
        <v>15.634285714285717</v>
      </c>
    </row>
    <row r="178" spans="1:41" ht="12.75">
      <c r="A178" s="17" t="s">
        <v>121</v>
      </c>
      <c r="B178" s="12" t="s">
        <v>113</v>
      </c>
      <c r="C178" s="9">
        <f t="shared" si="134"/>
        <v>29.71428571428572</v>
      </c>
      <c r="D178" s="17" t="s">
        <v>45</v>
      </c>
      <c r="E178" s="17" t="s">
        <v>45</v>
      </c>
      <c r="F178" s="7">
        <v>0</v>
      </c>
      <c r="G178" s="3" t="s">
        <v>11</v>
      </c>
      <c r="H178" s="3"/>
      <c r="I178" s="3"/>
      <c r="J178" s="3"/>
      <c r="K178" s="3" t="s">
        <v>2</v>
      </c>
      <c r="L178" s="3"/>
      <c r="M178" s="3"/>
      <c r="N178" s="10">
        <v>10</v>
      </c>
      <c r="O178" s="10">
        <v>0</v>
      </c>
      <c r="P178" s="10">
        <v>0</v>
      </c>
      <c r="Q178" s="10">
        <v>0</v>
      </c>
      <c r="R178" s="10">
        <v>0</v>
      </c>
      <c r="S178" s="9">
        <f t="shared" si="135"/>
        <v>0</v>
      </c>
      <c r="T178" s="9">
        <f t="shared" si="136"/>
        <v>0</v>
      </c>
      <c r="U178" s="9">
        <f t="shared" si="137"/>
        <v>0</v>
      </c>
      <c r="V178" s="9">
        <f t="shared" si="106"/>
        <v>0</v>
      </c>
      <c r="W178" s="7">
        <v>120</v>
      </c>
      <c r="X178" s="4" t="s">
        <v>109</v>
      </c>
      <c r="Y178" s="8"/>
      <c r="Z178" s="3" t="s">
        <v>120</v>
      </c>
      <c r="AB178" s="3" t="s">
        <v>120</v>
      </c>
      <c r="AC178" s="7">
        <f t="shared" si="146"/>
        <v>26</v>
      </c>
      <c r="AD178" s="6">
        <f t="shared" si="138"/>
        <v>1.4</v>
      </c>
      <c r="AE178" s="5"/>
      <c r="AF178" s="4"/>
      <c r="AG178" s="4">
        <f t="shared" si="139"/>
        <v>18.571428571428573</v>
      </c>
      <c r="AH178" s="4">
        <f t="shared" si="140"/>
        <v>1</v>
      </c>
      <c r="AI178" s="4">
        <f t="shared" si="141"/>
        <v>1.6</v>
      </c>
      <c r="AJ178" s="4">
        <f t="shared" si="142"/>
        <v>1</v>
      </c>
      <c r="AK178" s="4">
        <f t="shared" si="143"/>
        <v>0.8</v>
      </c>
      <c r="AL178" s="4">
        <f t="shared" si="144"/>
        <v>0</v>
      </c>
      <c r="AM178" s="5">
        <v>1</v>
      </c>
      <c r="AO178" s="4">
        <f t="shared" si="145"/>
        <v>23.771428571428576</v>
      </c>
    </row>
    <row r="179" spans="1:41" ht="12.75">
      <c r="A179" s="17" t="s">
        <v>119</v>
      </c>
      <c r="B179" s="12" t="s">
        <v>118</v>
      </c>
      <c r="C179" s="9">
        <f t="shared" si="134"/>
        <v>12.571428571428573</v>
      </c>
      <c r="D179" s="17" t="s">
        <v>45</v>
      </c>
      <c r="E179" s="17" t="s">
        <v>45</v>
      </c>
      <c r="F179" s="7">
        <v>0</v>
      </c>
      <c r="G179" s="3" t="s">
        <v>11</v>
      </c>
      <c r="H179" s="3"/>
      <c r="I179" s="3"/>
      <c r="J179" s="3"/>
      <c r="K179" s="3" t="s">
        <v>2</v>
      </c>
      <c r="L179" s="3"/>
      <c r="M179" s="3"/>
      <c r="N179" s="10">
        <v>30</v>
      </c>
      <c r="O179" s="10">
        <v>0</v>
      </c>
      <c r="P179" s="10">
        <v>0</v>
      </c>
      <c r="Q179" s="10">
        <v>0</v>
      </c>
      <c r="R179" s="10">
        <v>0</v>
      </c>
      <c r="S179" s="9">
        <f t="shared" si="135"/>
        <v>0</v>
      </c>
      <c r="T179" s="9">
        <f t="shared" si="136"/>
        <v>0</v>
      </c>
      <c r="U179" s="9">
        <f t="shared" si="137"/>
        <v>0</v>
      </c>
      <c r="V179" s="9">
        <f t="shared" si="106"/>
        <v>0</v>
      </c>
      <c r="W179" s="7">
        <v>120</v>
      </c>
      <c r="X179" s="4" t="s">
        <v>109</v>
      </c>
      <c r="Y179" s="8"/>
      <c r="Z179" s="3" t="s">
        <v>117</v>
      </c>
      <c r="AB179" s="3" t="s">
        <v>117</v>
      </c>
      <c r="AC179" s="7">
        <f t="shared" si="146"/>
        <v>11</v>
      </c>
      <c r="AD179" s="6">
        <f t="shared" si="138"/>
        <v>1.4</v>
      </c>
      <c r="AE179" s="5"/>
      <c r="AF179" s="4"/>
      <c r="AG179" s="4">
        <f t="shared" si="139"/>
        <v>7.857142857142858</v>
      </c>
      <c r="AH179" s="4">
        <f t="shared" si="140"/>
        <v>1</v>
      </c>
      <c r="AI179" s="4">
        <f t="shared" si="141"/>
        <v>1.9</v>
      </c>
      <c r="AJ179" s="4">
        <f t="shared" si="142"/>
        <v>1</v>
      </c>
      <c r="AK179" s="4">
        <f t="shared" si="143"/>
        <v>0.8</v>
      </c>
      <c r="AL179" s="4">
        <f t="shared" si="144"/>
        <v>0</v>
      </c>
      <c r="AM179" s="5">
        <v>1</v>
      </c>
      <c r="AO179" s="4">
        <f t="shared" si="145"/>
        <v>11.942857142857143</v>
      </c>
    </row>
    <row r="180" spans="1:41" ht="12.75">
      <c r="A180" s="17" t="s">
        <v>116</v>
      </c>
      <c r="B180" s="12" t="s">
        <v>115</v>
      </c>
      <c r="C180" s="9">
        <f t="shared" si="134"/>
        <v>19.200000000000003</v>
      </c>
      <c r="D180" s="17" t="s">
        <v>45</v>
      </c>
      <c r="E180" s="17" t="s">
        <v>45</v>
      </c>
      <c r="F180" s="7">
        <v>0</v>
      </c>
      <c r="G180" s="3" t="s">
        <v>11</v>
      </c>
      <c r="H180" s="3"/>
      <c r="I180" s="3" t="s">
        <v>2</v>
      </c>
      <c r="J180" s="3"/>
      <c r="K180" s="3"/>
      <c r="L180" s="3"/>
      <c r="M180" s="3"/>
      <c r="N180" s="10">
        <v>20</v>
      </c>
      <c r="O180" s="10">
        <v>0</v>
      </c>
      <c r="P180" s="10">
        <v>0</v>
      </c>
      <c r="Q180" s="10">
        <v>0</v>
      </c>
      <c r="R180" s="10">
        <v>0</v>
      </c>
      <c r="S180" s="9">
        <f t="shared" si="135"/>
        <v>0</v>
      </c>
      <c r="T180" s="9">
        <f t="shared" si="136"/>
        <v>0</v>
      </c>
      <c r="U180" s="9">
        <f t="shared" si="137"/>
        <v>0</v>
      </c>
      <c r="V180" s="9">
        <f t="shared" si="106"/>
        <v>0</v>
      </c>
      <c r="W180" s="7">
        <v>120</v>
      </c>
      <c r="X180" s="4" t="s">
        <v>109</v>
      </c>
      <c r="Y180" s="8"/>
      <c r="Z180" s="3" t="s">
        <v>112</v>
      </c>
      <c r="AB180" s="3" t="s">
        <v>112</v>
      </c>
      <c r="AC180" s="7">
        <f t="shared" si="146"/>
        <v>16</v>
      </c>
      <c r="AD180" s="6">
        <f t="shared" si="138"/>
        <v>1.4</v>
      </c>
      <c r="AE180" s="5"/>
      <c r="AF180" s="4"/>
      <c r="AG180" s="4">
        <f t="shared" si="139"/>
        <v>12</v>
      </c>
      <c r="AH180" s="4">
        <f t="shared" si="140"/>
        <v>1</v>
      </c>
      <c r="AI180" s="4">
        <f t="shared" si="141"/>
        <v>1.8</v>
      </c>
      <c r="AJ180" s="4">
        <f t="shared" si="142"/>
        <v>1</v>
      </c>
      <c r="AK180" s="4">
        <f t="shared" si="143"/>
        <v>0.8</v>
      </c>
      <c r="AL180" s="4">
        <f t="shared" si="144"/>
        <v>0</v>
      </c>
      <c r="AM180" s="5">
        <v>1</v>
      </c>
      <c r="AO180" s="4">
        <f t="shared" si="145"/>
        <v>17.28</v>
      </c>
    </row>
    <row r="181" spans="1:41" ht="12.75">
      <c r="A181" s="17" t="s">
        <v>114</v>
      </c>
      <c r="B181" s="12" t="s">
        <v>113</v>
      </c>
      <c r="C181" s="9">
        <f t="shared" si="134"/>
        <v>18.28571428571429</v>
      </c>
      <c r="D181" s="17" t="s">
        <v>45</v>
      </c>
      <c r="E181" s="17" t="s">
        <v>45</v>
      </c>
      <c r="F181" s="7">
        <v>0</v>
      </c>
      <c r="G181" s="3" t="s">
        <v>11</v>
      </c>
      <c r="H181" s="3"/>
      <c r="I181" s="3"/>
      <c r="J181" s="3"/>
      <c r="K181" s="3" t="s">
        <v>2</v>
      </c>
      <c r="L181" s="3"/>
      <c r="M181" s="3"/>
      <c r="N181" s="10">
        <v>20</v>
      </c>
      <c r="O181" s="10">
        <v>0</v>
      </c>
      <c r="P181" s="10">
        <v>0</v>
      </c>
      <c r="Q181" s="10">
        <v>0</v>
      </c>
      <c r="R181" s="10">
        <v>0</v>
      </c>
      <c r="S181" s="9">
        <f t="shared" si="135"/>
        <v>0</v>
      </c>
      <c r="T181" s="9">
        <f t="shared" si="136"/>
        <v>0</v>
      </c>
      <c r="U181" s="9">
        <f t="shared" si="137"/>
        <v>0</v>
      </c>
      <c r="V181" s="9">
        <f t="shared" si="106"/>
        <v>0</v>
      </c>
      <c r="W181" s="7">
        <v>120</v>
      </c>
      <c r="X181" s="4" t="s">
        <v>109</v>
      </c>
      <c r="Y181" s="8"/>
      <c r="Z181" s="3" t="s">
        <v>112</v>
      </c>
      <c r="AB181" s="3" t="s">
        <v>112</v>
      </c>
      <c r="AC181" s="7">
        <f t="shared" si="146"/>
        <v>16</v>
      </c>
      <c r="AD181" s="6">
        <f t="shared" si="138"/>
        <v>1.4</v>
      </c>
      <c r="AE181" s="5"/>
      <c r="AF181" s="4"/>
      <c r="AG181" s="4">
        <f t="shared" si="139"/>
        <v>11.428571428571429</v>
      </c>
      <c r="AH181" s="4">
        <f t="shared" si="140"/>
        <v>1</v>
      </c>
      <c r="AI181" s="4">
        <f t="shared" si="141"/>
        <v>1.8</v>
      </c>
      <c r="AJ181" s="4">
        <f t="shared" si="142"/>
        <v>1</v>
      </c>
      <c r="AK181" s="4">
        <f t="shared" si="143"/>
        <v>0.8</v>
      </c>
      <c r="AL181" s="4">
        <f t="shared" si="144"/>
        <v>0</v>
      </c>
      <c r="AM181" s="5">
        <v>1</v>
      </c>
      <c r="AO181" s="4">
        <f t="shared" si="145"/>
        <v>16.45714285714286</v>
      </c>
    </row>
    <row r="182" spans="1:41" ht="12.75">
      <c r="A182" s="17" t="s">
        <v>111</v>
      </c>
      <c r="B182" s="12" t="s">
        <v>110</v>
      </c>
      <c r="C182" s="9">
        <f t="shared" si="134"/>
        <v>2.912</v>
      </c>
      <c r="D182" s="17" t="s">
        <v>45</v>
      </c>
      <c r="E182" s="17" t="s">
        <v>45</v>
      </c>
      <c r="F182" s="7">
        <v>0</v>
      </c>
      <c r="G182" s="3" t="s">
        <v>3</v>
      </c>
      <c r="H182" s="3"/>
      <c r="I182" s="3"/>
      <c r="J182" s="3"/>
      <c r="K182" s="3" t="s">
        <v>2</v>
      </c>
      <c r="L182" s="3"/>
      <c r="M182" s="3"/>
      <c r="N182" s="10">
        <v>3</v>
      </c>
      <c r="O182" s="10">
        <v>0</v>
      </c>
      <c r="P182" s="10">
        <v>-20</v>
      </c>
      <c r="Q182" s="10">
        <v>-20</v>
      </c>
      <c r="R182" s="10">
        <v>-20</v>
      </c>
      <c r="S182" s="9">
        <f t="shared" si="135"/>
        <v>0</v>
      </c>
      <c r="T182" s="9">
        <f t="shared" si="136"/>
        <v>0</v>
      </c>
      <c r="U182" s="9">
        <f t="shared" si="137"/>
        <v>0</v>
      </c>
      <c r="V182" s="9">
        <f t="shared" si="106"/>
        <v>-26</v>
      </c>
      <c r="W182" s="7">
        <v>360</v>
      </c>
      <c r="X182" s="4" t="s">
        <v>109</v>
      </c>
      <c r="Y182" s="8"/>
      <c r="Z182" s="3" t="s">
        <v>108</v>
      </c>
      <c r="AB182" s="5">
        <v>8</v>
      </c>
      <c r="AC182" s="7">
        <f t="shared" si="146"/>
        <v>4</v>
      </c>
      <c r="AD182" s="6">
        <f t="shared" si="138"/>
        <v>1</v>
      </c>
      <c r="AE182" s="5"/>
      <c r="AF182" s="4"/>
      <c r="AG182" s="4">
        <f t="shared" si="139"/>
        <v>4</v>
      </c>
      <c r="AH182" s="4">
        <f t="shared" si="140"/>
        <v>1</v>
      </c>
      <c r="AI182" s="4" t="e">
        <f t="shared" si="141"/>
        <v>#N/A</v>
      </c>
      <c r="AJ182" s="4">
        <f t="shared" si="142"/>
        <v>1.3</v>
      </c>
      <c r="AK182" s="4">
        <f t="shared" si="143"/>
        <v>0.8</v>
      </c>
      <c r="AL182" s="4">
        <f t="shared" si="144"/>
        <v>0</v>
      </c>
      <c r="AM182" s="5">
        <v>1</v>
      </c>
      <c r="AO182" s="4" t="e">
        <f t="shared" si="145"/>
        <v>#N/A</v>
      </c>
    </row>
    <row r="183" spans="1:41" ht="12.75">
      <c r="A183" s="17"/>
      <c r="B183" s="12"/>
      <c r="C183" s="9">
        <f t="shared" si="134"/>
        <v>0</v>
      </c>
      <c r="D183" s="17"/>
      <c r="E183" s="3"/>
      <c r="F183" s="7"/>
      <c r="G183" s="3"/>
      <c r="H183" s="3"/>
      <c r="I183" s="3"/>
      <c r="J183" s="3"/>
      <c r="K183" s="3"/>
      <c r="L183" s="3"/>
      <c r="M183" s="3"/>
      <c r="N183" s="10"/>
      <c r="O183" s="10"/>
      <c r="P183" s="10"/>
      <c r="Q183" s="10"/>
      <c r="R183" s="10"/>
      <c r="S183" s="9"/>
      <c r="T183" s="9"/>
      <c r="U183" s="9"/>
      <c r="V183" s="9">
        <f t="shared" si="106"/>
        <v>0</v>
      </c>
      <c r="W183" s="7"/>
      <c r="X183" s="4"/>
      <c r="Y183" s="8"/>
      <c r="Z183" s="5"/>
      <c r="AB183" s="5"/>
      <c r="AC183" s="7"/>
      <c r="AD183" s="6"/>
      <c r="AE183" s="5"/>
      <c r="AF183" s="4"/>
      <c r="AG183" s="4"/>
      <c r="AH183" s="4"/>
      <c r="AI183" s="4"/>
      <c r="AJ183" s="7"/>
      <c r="AK183" s="4"/>
      <c r="AL183" s="4"/>
      <c r="AO183" s="4"/>
    </row>
    <row r="184" spans="1:41" ht="12.75">
      <c r="A184" s="20" t="s">
        <v>107</v>
      </c>
      <c r="B184" s="12"/>
      <c r="C184" s="9">
        <f t="shared" si="134"/>
        <v>0</v>
      </c>
      <c r="D184" s="17"/>
      <c r="E184" s="3"/>
      <c r="F184" s="7"/>
      <c r="G184" s="3"/>
      <c r="H184" s="3"/>
      <c r="I184" s="3"/>
      <c r="J184" s="3"/>
      <c r="K184" s="3"/>
      <c r="L184" s="3"/>
      <c r="M184" s="3"/>
      <c r="N184" s="10"/>
      <c r="O184" s="10"/>
      <c r="P184" s="10"/>
      <c r="Q184" s="10"/>
      <c r="R184" s="10"/>
      <c r="S184" s="9"/>
      <c r="T184" s="9"/>
      <c r="U184" s="9"/>
      <c r="V184" s="9">
        <f t="shared" si="106"/>
        <v>0</v>
      </c>
      <c r="W184" s="7"/>
      <c r="X184" s="4"/>
      <c r="Y184" s="8"/>
      <c r="Z184" s="5"/>
      <c r="AB184" s="5"/>
      <c r="AC184" s="7"/>
      <c r="AD184" s="6"/>
      <c r="AE184" s="5"/>
      <c r="AF184" s="4"/>
      <c r="AG184" s="4"/>
      <c r="AH184" s="4"/>
      <c r="AI184" s="4"/>
      <c r="AJ184" s="7"/>
      <c r="AK184" s="4"/>
      <c r="AL184" s="4"/>
      <c r="AO184" s="4"/>
    </row>
    <row r="185" spans="1:41" ht="12.75">
      <c r="A185" s="17" t="s">
        <v>106</v>
      </c>
      <c r="B185" s="12" t="s">
        <v>105</v>
      </c>
      <c r="C185" s="9">
        <f t="shared" si="134"/>
        <v>10.75</v>
      </c>
      <c r="D185" s="17" t="s">
        <v>45</v>
      </c>
      <c r="E185" s="17" t="s">
        <v>45</v>
      </c>
      <c r="F185" s="7">
        <v>0</v>
      </c>
      <c r="G185" s="3" t="s">
        <v>3</v>
      </c>
      <c r="H185" s="3"/>
      <c r="I185" s="3"/>
      <c r="J185" s="3"/>
      <c r="K185" s="3" t="s">
        <v>2</v>
      </c>
      <c r="L185" s="3"/>
      <c r="M185" s="3"/>
      <c r="N185" s="10">
        <v>20</v>
      </c>
      <c r="O185" s="10">
        <v>10</v>
      </c>
      <c r="P185" s="10">
        <v>10</v>
      </c>
      <c r="Q185" s="10">
        <v>-10</v>
      </c>
      <c r="R185" s="10">
        <v>0</v>
      </c>
      <c r="S185" s="9">
        <f>VLOOKUP($D185,Weapon_mode,2,FALSE)+VLOOKUP($E185,Weapon_size,2,FALSE)</f>
        <v>0</v>
      </c>
      <c r="T185" s="9">
        <f>VLOOKUP($D185,Weapon_mode,3,FALSE)++VLOOKUP($E185,Weapon_size,3,FALSE)</f>
        <v>0</v>
      </c>
      <c r="U185" s="9">
        <f>VLOOKUP($D185,Weapon_mode,4,FALSE)+VLOOKUP($E185,Weapon_size,4,FALSE)</f>
        <v>0</v>
      </c>
      <c r="V185" s="9">
        <f t="shared" si="106"/>
        <v>3</v>
      </c>
      <c r="W185" s="7">
        <v>120</v>
      </c>
      <c r="X185" s="4" t="s">
        <v>96</v>
      </c>
      <c r="Y185" s="8" t="s">
        <v>95</v>
      </c>
      <c r="Z185" s="3" t="str">
        <f>Y185</f>
        <v>-</v>
      </c>
      <c r="AB185" s="5">
        <v>5</v>
      </c>
      <c r="AC185" s="7">
        <f>AB185</f>
        <v>5</v>
      </c>
      <c r="AD185" s="6">
        <f>VLOOKUP(G185,RoF,2,FALSE)</f>
        <v>1</v>
      </c>
      <c r="AE185" s="5"/>
      <c r="AF185" s="4"/>
      <c r="AG185" s="4">
        <f>AC185/AD185*IF(H185="Y",raking,1)*IF(I185="Y",Pierce,1)*IF(J185="Y",Sustained,1)*IF(K185="Y",standard,1)*IF(L185="Y",Pulse,1)*IF(M185="Y",Flash,1)</f>
        <v>5</v>
      </c>
      <c r="AH185" s="4">
        <f>VLOOKUP(S185,FireControl,2)</f>
        <v>1</v>
      </c>
      <c r="AI185" s="4">
        <f>VLOOKUP(N185,Range,2,FALSE)</f>
        <v>1.8</v>
      </c>
      <c r="AJ185" s="4">
        <f>VLOOKUP(W185,Arc,2,FALSE)</f>
        <v>1</v>
      </c>
      <c r="AK185" s="4">
        <f>VLOOKUP(X185,Interceptable,2,FALSE)</f>
        <v>1</v>
      </c>
      <c r="AL185" s="4">
        <f>VLOOKUP(F185,Interceptability,2,FALSE)</f>
        <v>0</v>
      </c>
      <c r="AM185" s="5">
        <v>1</v>
      </c>
      <c r="AO185" s="4">
        <f>MAX(AG185*AH185*AI185*AJ185*AK185*AM185,AL185)+MIN(AG185*AH185*AI185*AJ185*AK185,AL185)/2</f>
        <v>9</v>
      </c>
    </row>
    <row r="186" spans="1:41" ht="12.75">
      <c r="A186" s="17" t="s">
        <v>104</v>
      </c>
      <c r="B186" s="12" t="s">
        <v>103</v>
      </c>
      <c r="C186" s="9">
        <f t="shared" si="134"/>
        <v>32</v>
      </c>
      <c r="D186" s="17" t="s">
        <v>45</v>
      </c>
      <c r="E186" s="17" t="s">
        <v>45</v>
      </c>
      <c r="F186" s="7">
        <v>0</v>
      </c>
      <c r="G186" s="3" t="s">
        <v>3</v>
      </c>
      <c r="H186" s="3"/>
      <c r="I186" s="3"/>
      <c r="J186" s="3"/>
      <c r="K186" s="3" t="s">
        <v>2</v>
      </c>
      <c r="L186" s="3"/>
      <c r="M186" s="3"/>
      <c r="N186" s="10">
        <v>20</v>
      </c>
      <c r="O186" s="10">
        <v>0</v>
      </c>
      <c r="P186" s="10">
        <v>0</v>
      </c>
      <c r="Q186" s="10">
        <v>0</v>
      </c>
      <c r="R186" s="10">
        <v>0</v>
      </c>
      <c r="S186" s="9">
        <f>VLOOKUP($D186,Weapon_mode,2,FALSE)+VLOOKUP($E186,Weapon_size,2,FALSE)</f>
        <v>0</v>
      </c>
      <c r="T186" s="9">
        <f>VLOOKUP($D186,Weapon_mode,3,FALSE)++VLOOKUP($E186,Weapon_size,3,FALSE)</f>
        <v>0</v>
      </c>
      <c r="U186" s="9">
        <f>VLOOKUP($D186,Weapon_mode,4,FALSE)+VLOOKUP($E186,Weapon_size,4,FALSE)</f>
        <v>0</v>
      </c>
      <c r="V186" s="9">
        <f t="shared" si="106"/>
        <v>0</v>
      </c>
      <c r="W186" s="7">
        <v>120</v>
      </c>
      <c r="X186" s="4" t="s">
        <v>96</v>
      </c>
      <c r="Y186" s="8" t="s">
        <v>95</v>
      </c>
      <c r="Z186" s="3" t="str">
        <f>Y186</f>
        <v>-</v>
      </c>
      <c r="AB186" s="5">
        <v>20</v>
      </c>
      <c r="AC186" s="7">
        <f>AB186-4</f>
        <v>16</v>
      </c>
      <c r="AD186" s="6">
        <f>VLOOKUP(G186,RoF,2,FALSE)</f>
        <v>1</v>
      </c>
      <c r="AE186" s="5"/>
      <c r="AF186" s="4"/>
      <c r="AG186" s="4">
        <f>AC186/AD186*IF(H186="Y",raking,1)*IF(I186="Y",Pierce,1)*IF(J186="Y",Sustained,1)*IF(K186="Y",standard,1)*IF(L186="Y",Pulse,1)*IF(M186="Y",Flash,1)</f>
        <v>16</v>
      </c>
      <c r="AH186" s="4">
        <f>VLOOKUP(S186,FireControl,2)</f>
        <v>1</v>
      </c>
      <c r="AI186" s="4">
        <f>VLOOKUP(N186,Range,2,FALSE)</f>
        <v>1.8</v>
      </c>
      <c r="AJ186" s="4">
        <f>VLOOKUP(W186,Arc,2,FALSE)</f>
        <v>1</v>
      </c>
      <c r="AK186" s="4">
        <f>VLOOKUP(X186,Interceptable,2,FALSE)</f>
        <v>1</v>
      </c>
      <c r="AL186" s="4">
        <f>VLOOKUP(F186,Interceptability,2,FALSE)</f>
        <v>0</v>
      </c>
      <c r="AM186" s="5">
        <v>1</v>
      </c>
      <c r="AO186" s="4">
        <f>MAX(AG186*AH186*AI186*AJ186*AK186*AM186,AL186)+MIN(AG186*AH186*AI186*AJ186*AK186,AL186)/2</f>
        <v>28.8</v>
      </c>
    </row>
    <row r="187" spans="1:41" ht="12.75">
      <c r="A187" s="17" t="s">
        <v>102</v>
      </c>
      <c r="B187" s="12" t="s">
        <v>101</v>
      </c>
      <c r="C187" s="9">
        <f t="shared" si="134"/>
        <v>32</v>
      </c>
      <c r="D187" s="17" t="s">
        <v>45</v>
      </c>
      <c r="E187" s="17" t="s">
        <v>45</v>
      </c>
      <c r="F187" s="7">
        <v>0</v>
      </c>
      <c r="G187" s="3" t="s">
        <v>3</v>
      </c>
      <c r="H187" s="3"/>
      <c r="I187" s="3"/>
      <c r="J187" s="3"/>
      <c r="K187" s="3" t="s">
        <v>2</v>
      </c>
      <c r="L187" s="3"/>
      <c r="M187" s="3"/>
      <c r="N187" s="10">
        <v>30</v>
      </c>
      <c r="O187" s="10">
        <v>0</v>
      </c>
      <c r="P187" s="10">
        <v>0</v>
      </c>
      <c r="Q187" s="10">
        <v>0</v>
      </c>
      <c r="R187" s="10">
        <v>0</v>
      </c>
      <c r="S187" s="9">
        <f>VLOOKUP($D187,Weapon_mode,2,FALSE)+VLOOKUP($E187,Weapon_size,2,FALSE)</f>
        <v>0</v>
      </c>
      <c r="T187" s="9">
        <f>VLOOKUP($D187,Weapon_mode,3,FALSE)++VLOOKUP($E187,Weapon_size,3,FALSE)</f>
        <v>0</v>
      </c>
      <c r="U187" s="9">
        <f>VLOOKUP($D187,Weapon_mode,4,FALSE)+VLOOKUP($E187,Weapon_size,4,FALSE)</f>
        <v>0</v>
      </c>
      <c r="V187" s="9">
        <f t="shared" si="106"/>
        <v>0</v>
      </c>
      <c r="W187" s="7">
        <v>120</v>
      </c>
      <c r="X187" s="4" t="s">
        <v>96</v>
      </c>
      <c r="Y187" s="8" t="s">
        <v>95</v>
      </c>
      <c r="Z187" s="3" t="str">
        <f>Y187</f>
        <v>-</v>
      </c>
      <c r="AB187" s="5">
        <v>20</v>
      </c>
      <c r="AC187" s="7">
        <f>AB187-4</f>
        <v>16</v>
      </c>
      <c r="AD187" s="6">
        <f>VLOOKUP(G187,RoF,2,FALSE)</f>
        <v>1</v>
      </c>
      <c r="AE187" s="5"/>
      <c r="AF187" s="4"/>
      <c r="AG187" s="4">
        <f>AC187/AD187*IF(H187="Y",raking,1)*IF(I187="Y",Pierce,1)*IF(J187="Y",Sustained,1)*IF(K187="Y",standard,1)*IF(L187="Y",Pulse,1)*IF(M187="Y",Flash,1)</f>
        <v>16</v>
      </c>
      <c r="AH187" s="4">
        <f>VLOOKUP(S187,FireControl,2)</f>
        <v>1</v>
      </c>
      <c r="AI187" s="4">
        <f>VLOOKUP(N187,Range,2,FALSE)</f>
        <v>1.9</v>
      </c>
      <c r="AJ187" s="4">
        <f>VLOOKUP(W187,Arc,2,FALSE)</f>
        <v>1</v>
      </c>
      <c r="AK187" s="4">
        <f>VLOOKUP(X187,Interceptable,2,FALSE)</f>
        <v>1</v>
      </c>
      <c r="AL187" s="4">
        <f>VLOOKUP(F187,Interceptability,2,FALSE)</f>
        <v>0</v>
      </c>
      <c r="AM187" s="5">
        <v>1</v>
      </c>
      <c r="AO187" s="4">
        <f>MAX(AG187*AH187*AI187*AJ187*AK187*AM187,AL187)+MIN(AG187*AH187*AI187*AJ187*AK187,AL187)/2</f>
        <v>30.4</v>
      </c>
    </row>
    <row r="188" spans="1:41" ht="12.75">
      <c r="A188" s="17" t="s">
        <v>100</v>
      </c>
      <c r="B188" s="12" t="s">
        <v>99</v>
      </c>
      <c r="C188" s="9">
        <f t="shared" si="134"/>
        <v>32</v>
      </c>
      <c r="D188" s="17" t="s">
        <v>45</v>
      </c>
      <c r="E188" s="17" t="s">
        <v>45</v>
      </c>
      <c r="F188" s="7">
        <v>0</v>
      </c>
      <c r="G188" s="3" t="s">
        <v>3</v>
      </c>
      <c r="H188" s="3"/>
      <c r="I188" s="3"/>
      <c r="J188" s="3"/>
      <c r="K188" s="3" t="s">
        <v>2</v>
      </c>
      <c r="L188" s="3"/>
      <c r="M188" s="3"/>
      <c r="N188" s="10">
        <v>20</v>
      </c>
      <c r="O188" s="10">
        <v>0</v>
      </c>
      <c r="P188" s="10">
        <v>0</v>
      </c>
      <c r="Q188" s="10">
        <v>0</v>
      </c>
      <c r="R188" s="10">
        <v>0</v>
      </c>
      <c r="S188" s="9">
        <f>VLOOKUP($D188,Weapon_mode,2,FALSE)+VLOOKUP($E188,Weapon_size,2,FALSE)</f>
        <v>0</v>
      </c>
      <c r="T188" s="9">
        <f>VLOOKUP($D188,Weapon_mode,3,FALSE)++VLOOKUP($E188,Weapon_size,3,FALSE)</f>
        <v>0</v>
      </c>
      <c r="U188" s="9">
        <f>VLOOKUP($D188,Weapon_mode,4,FALSE)+VLOOKUP($E188,Weapon_size,4,FALSE)</f>
        <v>0</v>
      </c>
      <c r="V188" s="9">
        <f t="shared" si="106"/>
        <v>0</v>
      </c>
      <c r="W188" s="7">
        <v>120</v>
      </c>
      <c r="X188" s="4" t="s">
        <v>96</v>
      </c>
      <c r="Y188" s="8" t="s">
        <v>95</v>
      </c>
      <c r="Z188" s="3" t="str">
        <f>Y188</f>
        <v>-</v>
      </c>
      <c r="AB188" s="5">
        <v>20</v>
      </c>
      <c r="AC188" s="7">
        <f>AB188-4</f>
        <v>16</v>
      </c>
      <c r="AD188" s="6">
        <f>VLOOKUP(G188,RoF,2,FALSE)</f>
        <v>1</v>
      </c>
      <c r="AE188" s="5"/>
      <c r="AF188" s="4"/>
      <c r="AG188" s="4">
        <f>AC188/AD188*IF(H188="Y",raking,1)*IF(I188="Y",Pierce,1)*IF(J188="Y",Sustained,1)*IF(K188="Y",standard,1)*IF(L188="Y",Pulse,1)*IF(M188="Y",Flash,1)</f>
        <v>16</v>
      </c>
      <c r="AH188" s="4">
        <f>VLOOKUP(S188,FireControl,2)</f>
        <v>1</v>
      </c>
      <c r="AI188" s="4">
        <f>VLOOKUP(N188,Range,2,FALSE)</f>
        <v>1.8</v>
      </c>
      <c r="AJ188" s="4">
        <f>VLOOKUP(W188,Arc,2,FALSE)</f>
        <v>1</v>
      </c>
      <c r="AK188" s="4">
        <f>VLOOKUP(X188,Interceptable,2,FALSE)</f>
        <v>1</v>
      </c>
      <c r="AL188" s="4">
        <f>VLOOKUP(F188,Interceptability,2,FALSE)</f>
        <v>0</v>
      </c>
      <c r="AM188" s="5">
        <v>1</v>
      </c>
      <c r="AO188" s="4">
        <f>MAX(AG188*AH188*AI188*AJ188*AK188*AM188,AL188)+MIN(AG188*AH188*AI188*AJ188*AK188,AL188)/2</f>
        <v>28.8</v>
      </c>
    </row>
    <row r="189" spans="1:41" ht="12.75">
      <c r="A189" s="17" t="s">
        <v>98</v>
      </c>
      <c r="B189" s="12" t="s">
        <v>97</v>
      </c>
      <c r="C189" s="9">
        <f t="shared" si="134"/>
        <v>32</v>
      </c>
      <c r="D189" s="17" t="s">
        <v>45</v>
      </c>
      <c r="E189" s="17" t="s">
        <v>45</v>
      </c>
      <c r="F189" s="7">
        <v>0</v>
      </c>
      <c r="G189" s="3" t="s">
        <v>3</v>
      </c>
      <c r="H189" s="3"/>
      <c r="I189" s="3"/>
      <c r="J189" s="3"/>
      <c r="K189" s="3" t="s">
        <v>2</v>
      </c>
      <c r="L189" s="3"/>
      <c r="M189" s="3"/>
      <c r="N189" s="10">
        <v>20</v>
      </c>
      <c r="O189" s="10">
        <v>0</v>
      </c>
      <c r="P189" s="10">
        <v>0</v>
      </c>
      <c r="Q189" s="10">
        <v>0</v>
      </c>
      <c r="R189" s="10">
        <v>0</v>
      </c>
      <c r="S189" s="9">
        <f>VLOOKUP($D189,Weapon_mode,2,FALSE)+VLOOKUP($E189,Weapon_size,2,FALSE)</f>
        <v>0</v>
      </c>
      <c r="T189" s="9">
        <f>VLOOKUP($D189,Weapon_mode,3,FALSE)++VLOOKUP($E189,Weapon_size,3,FALSE)</f>
        <v>0</v>
      </c>
      <c r="U189" s="9">
        <f>VLOOKUP($D189,Weapon_mode,4,FALSE)+VLOOKUP($E189,Weapon_size,4,FALSE)</f>
        <v>0</v>
      </c>
      <c r="V189" s="9">
        <f t="shared" si="106"/>
        <v>0</v>
      </c>
      <c r="W189" s="7">
        <v>120</v>
      </c>
      <c r="X189" s="4" t="s">
        <v>96</v>
      </c>
      <c r="Y189" s="8" t="s">
        <v>95</v>
      </c>
      <c r="Z189" s="3" t="str">
        <f>Y189</f>
        <v>-</v>
      </c>
      <c r="AB189" s="5">
        <v>20</v>
      </c>
      <c r="AC189" s="7">
        <f>AB189-4</f>
        <v>16</v>
      </c>
      <c r="AD189" s="6">
        <f>VLOOKUP(G189,RoF,2,FALSE)</f>
        <v>1</v>
      </c>
      <c r="AE189" s="5"/>
      <c r="AF189" s="4"/>
      <c r="AG189" s="4">
        <f>AC189/AD189*IF(H189="Y",raking,1)*IF(I189="Y",Pierce,1)*IF(J189="Y",Sustained,1)*IF(K189="Y",standard,1)*IF(L189="Y",Pulse,1)*IF(M189="Y",Flash,1)</f>
        <v>16</v>
      </c>
      <c r="AH189" s="4">
        <f>VLOOKUP(S189,FireControl,2)</f>
        <v>1</v>
      </c>
      <c r="AI189" s="4">
        <f>VLOOKUP(N189,Range,2,FALSE)</f>
        <v>1.8</v>
      </c>
      <c r="AJ189" s="4">
        <f>VLOOKUP(W189,Arc,2,FALSE)</f>
        <v>1</v>
      </c>
      <c r="AK189" s="4">
        <f>VLOOKUP(X189,Interceptable,2,FALSE)</f>
        <v>1</v>
      </c>
      <c r="AL189" s="4">
        <f>VLOOKUP(F189,Interceptability,2,FALSE)</f>
        <v>0</v>
      </c>
      <c r="AM189" s="5">
        <v>1</v>
      </c>
      <c r="AO189" s="4">
        <f>MAX(AG189*AH189*AI189*AJ189*AK189*AM189,AL189)+MIN(AG189*AH189*AI189*AJ189*AK189,AL189)/2</f>
        <v>28.8</v>
      </c>
    </row>
    <row r="190" spans="1:41" ht="12.75">
      <c r="A190" s="17"/>
      <c r="B190" s="12"/>
      <c r="C190" s="9">
        <f t="shared" si="134"/>
        <v>0</v>
      </c>
      <c r="D190" s="17"/>
      <c r="E190" s="17"/>
      <c r="F190" s="7"/>
      <c r="G190" s="3"/>
      <c r="H190" s="3"/>
      <c r="I190" s="3"/>
      <c r="J190" s="3"/>
      <c r="K190" s="3"/>
      <c r="L190" s="3"/>
      <c r="M190" s="3"/>
      <c r="N190" s="10"/>
      <c r="O190" s="10"/>
      <c r="P190" s="10"/>
      <c r="Q190" s="10"/>
      <c r="R190" s="10"/>
      <c r="S190" s="9"/>
      <c r="T190" s="9"/>
      <c r="U190" s="9"/>
      <c r="V190" s="9">
        <f t="shared" si="106"/>
        <v>0</v>
      </c>
      <c r="W190" s="7"/>
      <c r="X190" s="4"/>
      <c r="Y190" s="8"/>
      <c r="Z190" s="3"/>
      <c r="AB190" s="5"/>
      <c r="AC190" s="7"/>
      <c r="AD190" s="6"/>
      <c r="AE190" s="5"/>
      <c r="AF190" s="4"/>
      <c r="AG190" s="4"/>
      <c r="AH190" s="4"/>
      <c r="AI190" s="4"/>
      <c r="AJ190" s="4"/>
      <c r="AK190" s="4"/>
      <c r="AL190" s="4"/>
      <c r="AO190" s="4"/>
    </row>
    <row r="191" spans="1:41" ht="12.75">
      <c r="A191" s="17"/>
      <c r="B191" s="12"/>
      <c r="C191" s="9">
        <f t="shared" si="134"/>
        <v>0</v>
      </c>
      <c r="D191" s="17"/>
      <c r="E191" s="3"/>
      <c r="F191" s="7"/>
      <c r="G191" s="5"/>
      <c r="H191" s="5"/>
      <c r="I191" s="5"/>
      <c r="J191" s="5"/>
      <c r="K191" s="5"/>
      <c r="L191" s="5"/>
      <c r="M191" s="5"/>
      <c r="N191" s="10"/>
      <c r="O191" s="10"/>
      <c r="P191" s="10"/>
      <c r="Q191" s="10"/>
      <c r="R191" s="10"/>
      <c r="S191" s="9"/>
      <c r="T191" s="9"/>
      <c r="U191" s="9"/>
      <c r="V191" s="9">
        <f t="shared" si="106"/>
        <v>0</v>
      </c>
      <c r="W191" s="7"/>
      <c r="X191" s="4"/>
      <c r="Y191" s="14"/>
      <c r="Z191" s="5"/>
      <c r="AB191" s="5"/>
      <c r="AC191" s="7"/>
      <c r="AD191" s="6"/>
      <c r="AE191" s="5"/>
      <c r="AF191" s="4"/>
      <c r="AG191" s="4"/>
      <c r="AH191" s="4"/>
      <c r="AI191" s="4"/>
      <c r="AJ191" s="7"/>
      <c r="AK191" s="4"/>
      <c r="AL191" s="4"/>
      <c r="AO191" s="4"/>
    </row>
    <row r="192" spans="1:41" ht="12.75">
      <c r="A192" s="21" t="s">
        <v>94</v>
      </c>
      <c r="B192" s="12"/>
      <c r="C192" s="9">
        <f t="shared" si="134"/>
        <v>0</v>
      </c>
      <c r="D192" s="17"/>
      <c r="E192" s="3"/>
      <c r="F192" s="7"/>
      <c r="G192" s="5"/>
      <c r="H192" s="5"/>
      <c r="I192" s="5"/>
      <c r="J192" s="5"/>
      <c r="K192" s="5"/>
      <c r="L192" s="5"/>
      <c r="M192" s="5"/>
      <c r="N192" s="10"/>
      <c r="O192" s="10"/>
      <c r="P192" s="10"/>
      <c r="Q192" s="10"/>
      <c r="R192" s="10"/>
      <c r="S192" s="9"/>
      <c r="T192" s="9"/>
      <c r="U192" s="9"/>
      <c r="V192" s="9">
        <f t="shared" si="106"/>
        <v>0</v>
      </c>
      <c r="W192" s="7"/>
      <c r="X192" s="4"/>
      <c r="Y192" s="14"/>
      <c r="Z192" s="5"/>
      <c r="AB192" s="5"/>
      <c r="AC192" s="7"/>
      <c r="AD192" s="6"/>
      <c r="AE192" s="5"/>
      <c r="AF192" s="4"/>
      <c r="AG192" s="4"/>
      <c r="AH192" s="4"/>
      <c r="AI192" s="4"/>
      <c r="AJ192" s="7"/>
      <c r="AK192" s="4"/>
      <c r="AL192" s="4"/>
      <c r="AO192" s="4"/>
    </row>
    <row r="193" spans="1:41" ht="12.75">
      <c r="A193" s="20" t="s">
        <v>955</v>
      </c>
      <c r="B193" s="12"/>
      <c r="C193" s="9">
        <f t="shared" si="134"/>
        <v>0</v>
      </c>
      <c r="E193" s="3"/>
      <c r="F193" s="7"/>
      <c r="G193" s="5"/>
      <c r="H193" s="5"/>
      <c r="I193" s="5"/>
      <c r="J193" s="5"/>
      <c r="K193" s="5"/>
      <c r="L193" s="5"/>
      <c r="M193" s="5"/>
      <c r="N193" s="10"/>
      <c r="O193" s="10"/>
      <c r="P193" s="10"/>
      <c r="Q193" s="10"/>
      <c r="R193" s="10"/>
      <c r="S193" s="9"/>
      <c r="T193" s="9"/>
      <c r="U193" s="9"/>
      <c r="V193" s="9">
        <f t="shared" si="106"/>
        <v>0</v>
      </c>
      <c r="W193" s="7"/>
      <c r="X193" s="4"/>
      <c r="Y193" s="14"/>
      <c r="Z193" s="5"/>
      <c r="AB193" s="5"/>
      <c r="AC193" s="19" t="s">
        <v>93</v>
      </c>
      <c r="AD193" s="6"/>
      <c r="AE193" s="5"/>
      <c r="AF193" s="4"/>
      <c r="AG193" s="4"/>
      <c r="AH193" s="4"/>
      <c r="AI193" s="4"/>
      <c r="AJ193" s="7"/>
      <c r="AK193" s="4"/>
      <c r="AL193" s="4"/>
      <c r="AO193" s="4"/>
    </row>
    <row r="194" spans="1:41" ht="12.75">
      <c r="A194" s="17" t="s">
        <v>92</v>
      </c>
      <c r="B194" s="12" t="s">
        <v>92</v>
      </c>
      <c r="C194" s="9">
        <f t="shared" si="134"/>
        <v>4.826250000000001</v>
      </c>
      <c r="D194" t="s">
        <v>4</v>
      </c>
      <c r="E194" s="18" t="s">
        <v>55</v>
      </c>
      <c r="F194" s="7">
        <v>0</v>
      </c>
      <c r="G194" s="3" t="s">
        <v>3</v>
      </c>
      <c r="H194" s="3"/>
      <c r="I194" s="3"/>
      <c r="J194" s="3"/>
      <c r="K194" s="3" t="s">
        <v>2</v>
      </c>
      <c r="L194" s="3"/>
      <c r="M194" s="3"/>
      <c r="N194" s="10" t="str">
        <f aca="true" t="shared" si="147" ref="N194:N205">VLOOKUP(D194,Weapon_range,(VLOOKUP(E194,weapon_size_col,2,FALSE)),FALSE)</f>
        <v>Fig</v>
      </c>
      <c r="O194" s="10">
        <v>2</v>
      </c>
      <c r="P194" s="10">
        <v>-20</v>
      </c>
      <c r="Q194" s="10">
        <v>-20</v>
      </c>
      <c r="R194" s="10">
        <v>-20</v>
      </c>
      <c r="S194" s="5">
        <v>4</v>
      </c>
      <c r="T194" s="5">
        <v>6</v>
      </c>
      <c r="U194" s="5">
        <v>8</v>
      </c>
      <c r="V194" s="9">
        <f t="shared" si="106"/>
        <v>-25</v>
      </c>
      <c r="W194" s="7">
        <v>360</v>
      </c>
      <c r="X194" s="4" t="s">
        <v>21</v>
      </c>
      <c r="Y194" s="14"/>
      <c r="Z194" s="5" t="s">
        <v>91</v>
      </c>
      <c r="AB194" s="5">
        <v>6.5</v>
      </c>
      <c r="AC194" s="7">
        <f aca="true" t="shared" si="148" ref="AC194:AC203">AB194-2</f>
        <v>4.5</v>
      </c>
      <c r="AD194" s="6">
        <f aca="true" t="shared" si="149" ref="AD194:AD205">VLOOKUP(G194,RoF,2,FALSE)</f>
        <v>1</v>
      </c>
      <c r="AE194" s="5"/>
      <c r="AF194" s="4"/>
      <c r="AG194" s="4">
        <f aca="true" t="shared" si="150" ref="AG194:AG205">AC194/AD194*IF(H194="Y",raking,1)*IF(I194="Y",Pierce,1)*IF(J194="Y",Sustained,1)*IF(K194="Y",standard,1)*IF(L194="Y",Pulse,1)*IF(M194="Y",Flash,1)</f>
        <v>4.5</v>
      </c>
      <c r="AH194" s="4">
        <f aca="true" t="shared" si="151" ref="AH194:AH202">VLOOKUP(ROUND((S194+T194+U194)/3,0),FireControl,2)</f>
        <v>1.5</v>
      </c>
      <c r="AI194" s="4">
        <f aca="true" t="shared" si="152" ref="AI194:AI205">VLOOKUP(N194,Range,2,FALSE)</f>
        <v>1</v>
      </c>
      <c r="AJ194" s="4">
        <f aca="true" t="shared" si="153" ref="AJ194:AJ205">VLOOKUP(W194,Arc,2,FALSE)</f>
        <v>1.3</v>
      </c>
      <c r="AK194" s="4">
        <f aca="true" t="shared" si="154" ref="AK194:AK205">VLOOKUP(X194,Interceptable,2,FALSE)</f>
        <v>1.1</v>
      </c>
      <c r="AL194" s="4">
        <f aca="true" t="shared" si="155" ref="AL194:AL205">VLOOKUP(F194,Interceptability,2,FALSE)</f>
        <v>0</v>
      </c>
      <c r="AM194" s="5">
        <v>1</v>
      </c>
      <c r="AO194" s="4">
        <f aca="true" t="shared" si="156" ref="AO194:AO205">MAX(AG194*AH194*AI194*AJ194*AK194*AM194,AL194)+MIN(AG194*AH194*AI194*AJ194*AK194,AL194)/2</f>
        <v>9.652500000000002</v>
      </c>
    </row>
    <row r="195" spans="1:41" ht="12.75">
      <c r="A195" s="17" t="s">
        <v>998</v>
      </c>
      <c r="B195" s="12" t="s">
        <v>999</v>
      </c>
      <c r="C195" s="9">
        <f>AG195*AJ195*AK195*(1+AL195/10)*AM195*(2+V195/20)</f>
        <v>5.1480000000000015</v>
      </c>
      <c r="D195" t="s">
        <v>4</v>
      </c>
      <c r="E195" s="18" t="s">
        <v>55</v>
      </c>
      <c r="F195" s="7">
        <v>0</v>
      </c>
      <c r="G195" s="3" t="s">
        <v>3</v>
      </c>
      <c r="H195" s="3"/>
      <c r="I195" s="3"/>
      <c r="J195" s="3"/>
      <c r="K195" s="3" t="s">
        <v>2</v>
      </c>
      <c r="L195" s="3"/>
      <c r="M195" s="3"/>
      <c r="N195" s="10" t="str">
        <f>VLOOKUP(D195,Weapon_range,(VLOOKUP(E195,weapon_size_col,2,FALSE)),FALSE)</f>
        <v>Fig</v>
      </c>
      <c r="O195" s="10">
        <v>4</v>
      </c>
      <c r="P195" s="10">
        <v>-20</v>
      </c>
      <c r="Q195" s="10">
        <v>-20</v>
      </c>
      <c r="R195" s="10">
        <v>-20</v>
      </c>
      <c r="S195" s="5">
        <v>4</v>
      </c>
      <c r="T195" s="5">
        <v>6</v>
      </c>
      <c r="U195" s="5">
        <v>8</v>
      </c>
      <c r="V195" s="9">
        <f>ROUND(O195/3+P195/2+IF(Q195&gt;-20,Q195,-20)/2+IF(R195&gt;-20,R195,-20)/3.5,0)</f>
        <v>-24</v>
      </c>
      <c r="W195" s="7">
        <v>360</v>
      </c>
      <c r="X195" s="4" t="s">
        <v>21</v>
      </c>
      <c r="Y195" s="14"/>
      <c r="Z195" s="5" t="s">
        <v>91</v>
      </c>
      <c r="AB195" s="5">
        <v>6.5</v>
      </c>
      <c r="AC195" s="7">
        <f t="shared" si="148"/>
        <v>4.5</v>
      </c>
      <c r="AD195" s="6">
        <f>VLOOKUP(G195,RoF,2,FALSE)</f>
        <v>1</v>
      </c>
      <c r="AE195" s="5"/>
      <c r="AF195" s="4"/>
      <c r="AG195" s="4">
        <f>AC195/AD195*IF(H195="Y",raking,1)*IF(I195="Y",Pierce,1)*IF(J195="Y",Sustained,1)*IF(K195="Y",standard,1)*IF(L195="Y",Pulse,1)*IF(M195="Y",Flash,1)</f>
        <v>4.5</v>
      </c>
      <c r="AH195" s="4">
        <f>VLOOKUP(ROUND((S195+T195+U195)/3,0),FireControl,2)</f>
        <v>1.5</v>
      </c>
      <c r="AI195" s="4">
        <f>VLOOKUP(N195,Range,2,FALSE)</f>
        <v>1</v>
      </c>
      <c r="AJ195" s="4">
        <f>VLOOKUP(W195,Arc,2,FALSE)</f>
        <v>1.3</v>
      </c>
      <c r="AK195" s="4">
        <f>VLOOKUP(X195,Interceptable,2,FALSE)</f>
        <v>1.1</v>
      </c>
      <c r="AL195" s="4">
        <f>VLOOKUP(F195,Interceptability,2,FALSE)</f>
        <v>0</v>
      </c>
      <c r="AM195" s="5">
        <v>1</v>
      </c>
      <c r="AO195" s="4">
        <f>MAX(AG195*AH195*AI195*AJ195*AK195*AM195,AL195)+MIN(AG195*AH195*AI195*AJ195*AK195,AL195)/2</f>
        <v>9.652500000000002</v>
      </c>
    </row>
    <row r="196" spans="1:41" ht="12.75">
      <c r="A196" t="s">
        <v>90</v>
      </c>
      <c r="B196" s="12" t="s">
        <v>90</v>
      </c>
      <c r="C196" s="9">
        <f t="shared" si="134"/>
        <v>2.6812500000000004</v>
      </c>
      <c r="D196" t="s">
        <v>4</v>
      </c>
      <c r="E196" s="18" t="s">
        <v>55</v>
      </c>
      <c r="F196" s="7">
        <v>0</v>
      </c>
      <c r="G196" s="3" t="s">
        <v>3</v>
      </c>
      <c r="H196" s="3"/>
      <c r="I196" s="3"/>
      <c r="J196" s="3"/>
      <c r="K196" s="3" t="s">
        <v>2</v>
      </c>
      <c r="L196" s="3"/>
      <c r="M196" s="3"/>
      <c r="N196" s="10" t="str">
        <f t="shared" si="147"/>
        <v>Fig</v>
      </c>
      <c r="O196" s="10">
        <v>2</v>
      </c>
      <c r="P196" s="10">
        <v>-20</v>
      </c>
      <c r="Q196" s="10">
        <v>-20</v>
      </c>
      <c r="R196" s="10">
        <v>-20</v>
      </c>
      <c r="S196" s="5">
        <v>3</v>
      </c>
      <c r="T196" s="5">
        <v>5</v>
      </c>
      <c r="U196" s="5">
        <v>8</v>
      </c>
      <c r="V196" s="9">
        <f t="shared" si="106"/>
        <v>-25</v>
      </c>
      <c r="W196" s="7">
        <v>360</v>
      </c>
      <c r="X196" s="4" t="s">
        <v>21</v>
      </c>
      <c r="Y196" s="14"/>
      <c r="Z196" s="5" t="s">
        <v>58</v>
      </c>
      <c r="AB196" s="5">
        <v>4.5</v>
      </c>
      <c r="AC196" s="7">
        <f t="shared" si="148"/>
        <v>2.5</v>
      </c>
      <c r="AD196" s="6">
        <f t="shared" si="149"/>
        <v>1</v>
      </c>
      <c r="AE196" s="5"/>
      <c r="AF196" s="4"/>
      <c r="AG196" s="4">
        <f t="shared" si="150"/>
        <v>2.5</v>
      </c>
      <c r="AH196" s="4">
        <f t="shared" si="151"/>
        <v>1.4</v>
      </c>
      <c r="AI196" s="4">
        <f t="shared" si="152"/>
        <v>1</v>
      </c>
      <c r="AJ196" s="4">
        <f t="shared" si="153"/>
        <v>1.3</v>
      </c>
      <c r="AK196" s="4">
        <f t="shared" si="154"/>
        <v>1.1</v>
      </c>
      <c r="AL196" s="4">
        <f t="shared" si="155"/>
        <v>0</v>
      </c>
      <c r="AM196" s="5">
        <v>1</v>
      </c>
      <c r="AO196" s="4">
        <f t="shared" si="156"/>
        <v>5.005</v>
      </c>
    </row>
    <row r="197" spans="1:41" ht="12.75">
      <c r="A197" t="s">
        <v>72</v>
      </c>
      <c r="B197" s="12" t="s">
        <v>89</v>
      </c>
      <c r="C197" s="9">
        <f t="shared" si="134"/>
        <v>2.6812500000000004</v>
      </c>
      <c r="D197" t="s">
        <v>4</v>
      </c>
      <c r="E197" s="18" t="s">
        <v>55</v>
      </c>
      <c r="F197" s="7">
        <v>0</v>
      </c>
      <c r="G197" s="3" t="s">
        <v>3</v>
      </c>
      <c r="H197" s="3"/>
      <c r="I197" s="3"/>
      <c r="J197" s="3"/>
      <c r="K197" s="3" t="s">
        <v>2</v>
      </c>
      <c r="L197" s="3"/>
      <c r="M197" s="3"/>
      <c r="N197" s="10" t="str">
        <f t="shared" si="147"/>
        <v>Fig</v>
      </c>
      <c r="O197" s="10">
        <v>1</v>
      </c>
      <c r="P197" s="10">
        <v>-20</v>
      </c>
      <c r="Q197" s="10">
        <v>-20</v>
      </c>
      <c r="R197" s="10">
        <v>-20</v>
      </c>
      <c r="S197" s="5">
        <v>3</v>
      </c>
      <c r="T197" s="5">
        <v>5</v>
      </c>
      <c r="U197" s="5">
        <v>7</v>
      </c>
      <c r="V197" s="9">
        <f t="shared" si="106"/>
        <v>-25</v>
      </c>
      <c r="W197" s="7">
        <v>360</v>
      </c>
      <c r="X197" s="4" t="s">
        <v>21</v>
      </c>
      <c r="Y197" s="14"/>
      <c r="Z197" s="5" t="s">
        <v>58</v>
      </c>
      <c r="AB197" s="5">
        <v>4.5</v>
      </c>
      <c r="AC197" s="7">
        <f t="shared" si="148"/>
        <v>2.5</v>
      </c>
      <c r="AD197" s="6">
        <f t="shared" si="149"/>
        <v>1</v>
      </c>
      <c r="AE197" s="5"/>
      <c r="AF197" s="4"/>
      <c r="AG197" s="4">
        <f t="shared" si="150"/>
        <v>2.5</v>
      </c>
      <c r="AH197" s="4">
        <f t="shared" si="151"/>
        <v>1.4</v>
      </c>
      <c r="AI197" s="4">
        <f t="shared" si="152"/>
        <v>1</v>
      </c>
      <c r="AJ197" s="4">
        <f t="shared" si="153"/>
        <v>1.3</v>
      </c>
      <c r="AK197" s="4">
        <f t="shared" si="154"/>
        <v>1.1</v>
      </c>
      <c r="AL197" s="4">
        <f t="shared" si="155"/>
        <v>0</v>
      </c>
      <c r="AM197" s="5">
        <v>1</v>
      </c>
      <c r="AO197" s="4">
        <f t="shared" si="156"/>
        <v>5.005</v>
      </c>
    </row>
    <row r="198" spans="1:41" ht="12.75">
      <c r="A198" t="s">
        <v>88</v>
      </c>
      <c r="B198" s="12" t="s">
        <v>88</v>
      </c>
      <c r="C198" s="9">
        <f t="shared" si="134"/>
        <v>3.75375</v>
      </c>
      <c r="D198" t="s">
        <v>4</v>
      </c>
      <c r="E198" s="18" t="s">
        <v>55</v>
      </c>
      <c r="F198" s="7">
        <v>0</v>
      </c>
      <c r="G198" s="3" t="s">
        <v>3</v>
      </c>
      <c r="H198" s="3"/>
      <c r="I198" s="3"/>
      <c r="J198" s="3"/>
      <c r="K198" s="3" t="s">
        <v>2</v>
      </c>
      <c r="L198" s="3"/>
      <c r="M198" s="3"/>
      <c r="N198" s="10" t="str">
        <f t="shared" si="147"/>
        <v>Fig</v>
      </c>
      <c r="O198" s="10">
        <v>2</v>
      </c>
      <c r="P198" s="10">
        <v>-20</v>
      </c>
      <c r="Q198" s="10">
        <v>-20</v>
      </c>
      <c r="R198" s="10">
        <v>-20</v>
      </c>
      <c r="S198" s="5">
        <v>3</v>
      </c>
      <c r="T198" s="5">
        <v>5</v>
      </c>
      <c r="U198" s="5">
        <v>7</v>
      </c>
      <c r="V198" s="9">
        <f t="shared" si="106"/>
        <v>-25</v>
      </c>
      <c r="W198" s="7">
        <v>360</v>
      </c>
      <c r="X198" s="4" t="s">
        <v>21</v>
      </c>
      <c r="Y198" s="14"/>
      <c r="Z198" s="5" t="s">
        <v>78</v>
      </c>
      <c r="AB198" s="5">
        <v>5.5</v>
      </c>
      <c r="AC198" s="7">
        <f t="shared" si="148"/>
        <v>3.5</v>
      </c>
      <c r="AD198" s="6">
        <f t="shared" si="149"/>
        <v>1</v>
      </c>
      <c r="AE198" s="5"/>
      <c r="AF198" s="4"/>
      <c r="AG198" s="4">
        <f t="shared" si="150"/>
        <v>3.5</v>
      </c>
      <c r="AH198" s="4">
        <f t="shared" si="151"/>
        <v>1.4</v>
      </c>
      <c r="AI198" s="4">
        <f t="shared" si="152"/>
        <v>1</v>
      </c>
      <c r="AJ198" s="4">
        <f t="shared" si="153"/>
        <v>1.3</v>
      </c>
      <c r="AK198" s="4">
        <f t="shared" si="154"/>
        <v>1.1</v>
      </c>
      <c r="AL198" s="4">
        <f t="shared" si="155"/>
        <v>0</v>
      </c>
      <c r="AM198" s="5">
        <v>1</v>
      </c>
      <c r="AO198" s="4">
        <f t="shared" si="156"/>
        <v>7.007</v>
      </c>
    </row>
    <row r="199" spans="1:41" ht="12.75">
      <c r="A199" t="s">
        <v>87</v>
      </c>
      <c r="B199" s="12" t="s">
        <v>87</v>
      </c>
      <c r="C199" s="9">
        <f t="shared" si="134"/>
        <v>6.292000000000002</v>
      </c>
      <c r="D199" t="s">
        <v>4</v>
      </c>
      <c r="E199" s="18" t="s">
        <v>55</v>
      </c>
      <c r="F199" s="7">
        <v>0</v>
      </c>
      <c r="G199" s="3" t="s">
        <v>3</v>
      </c>
      <c r="H199" s="3"/>
      <c r="I199" s="3"/>
      <c r="J199" s="3"/>
      <c r="K199" s="3" t="s">
        <v>2</v>
      </c>
      <c r="L199" s="3"/>
      <c r="M199" s="3"/>
      <c r="N199" s="10" t="str">
        <f t="shared" si="147"/>
        <v>Fig</v>
      </c>
      <c r="O199" s="10">
        <v>4</v>
      </c>
      <c r="P199" s="10">
        <v>-20</v>
      </c>
      <c r="Q199" s="10">
        <v>-20</v>
      </c>
      <c r="R199" s="10">
        <v>-20</v>
      </c>
      <c r="S199" s="5">
        <v>3</v>
      </c>
      <c r="T199" s="5">
        <v>5</v>
      </c>
      <c r="U199" s="5">
        <v>8</v>
      </c>
      <c r="V199" s="9">
        <f t="shared" si="106"/>
        <v>-24</v>
      </c>
      <c r="W199" s="7">
        <v>360</v>
      </c>
      <c r="X199" s="4" t="s">
        <v>21</v>
      </c>
      <c r="Y199" s="14"/>
      <c r="Z199" s="5" t="s">
        <v>86</v>
      </c>
      <c r="AB199" s="5">
        <v>7.5</v>
      </c>
      <c r="AC199" s="7">
        <f t="shared" si="148"/>
        <v>5.5</v>
      </c>
      <c r="AD199" s="6">
        <f t="shared" si="149"/>
        <v>1</v>
      </c>
      <c r="AE199" s="5"/>
      <c r="AF199" s="4"/>
      <c r="AG199" s="4">
        <f t="shared" si="150"/>
        <v>5.5</v>
      </c>
      <c r="AH199" s="4">
        <f t="shared" si="151"/>
        <v>1.4</v>
      </c>
      <c r="AI199" s="4">
        <f t="shared" si="152"/>
        <v>1</v>
      </c>
      <c r="AJ199" s="4">
        <f t="shared" si="153"/>
        <v>1.3</v>
      </c>
      <c r="AK199" s="4">
        <f t="shared" si="154"/>
        <v>1.1</v>
      </c>
      <c r="AL199" s="4">
        <f t="shared" si="155"/>
        <v>0</v>
      </c>
      <c r="AM199" s="5">
        <v>1</v>
      </c>
      <c r="AO199" s="4">
        <f t="shared" si="156"/>
        <v>11.011000000000001</v>
      </c>
    </row>
    <row r="200" spans="1:41" ht="12.75">
      <c r="A200" t="s">
        <v>85</v>
      </c>
      <c r="B200" s="12" t="s">
        <v>85</v>
      </c>
      <c r="C200" s="9">
        <f t="shared" si="134"/>
        <v>2.8600000000000003</v>
      </c>
      <c r="D200" t="s">
        <v>4</v>
      </c>
      <c r="E200" s="18" t="s">
        <v>55</v>
      </c>
      <c r="F200" s="7">
        <v>0</v>
      </c>
      <c r="G200" s="3" t="s">
        <v>3</v>
      </c>
      <c r="H200" s="3"/>
      <c r="I200" s="3"/>
      <c r="J200" s="3"/>
      <c r="K200" s="3" t="s">
        <v>2</v>
      </c>
      <c r="L200" s="3"/>
      <c r="M200" s="3"/>
      <c r="N200" s="10" t="str">
        <f t="shared" si="147"/>
        <v>Fig</v>
      </c>
      <c r="O200" s="10">
        <v>5</v>
      </c>
      <c r="P200" s="10">
        <v>-20</v>
      </c>
      <c r="Q200" s="10">
        <v>-20</v>
      </c>
      <c r="R200" s="10">
        <v>-20</v>
      </c>
      <c r="S200" s="5">
        <v>3</v>
      </c>
      <c r="T200" s="5">
        <v>5</v>
      </c>
      <c r="U200" s="5">
        <v>9</v>
      </c>
      <c r="V200" s="9">
        <f t="shared" si="106"/>
        <v>-24</v>
      </c>
      <c r="W200" s="7">
        <v>360</v>
      </c>
      <c r="X200" s="4" t="s">
        <v>21</v>
      </c>
      <c r="Y200" s="14">
        <v>5</v>
      </c>
      <c r="Z200" s="5" t="s">
        <v>58</v>
      </c>
      <c r="AB200" s="5">
        <v>4.5</v>
      </c>
      <c r="AC200" s="7">
        <f t="shared" si="148"/>
        <v>2.5</v>
      </c>
      <c r="AD200" s="6">
        <f t="shared" si="149"/>
        <v>1</v>
      </c>
      <c r="AE200" s="5"/>
      <c r="AF200" s="4"/>
      <c r="AG200" s="4">
        <f t="shared" si="150"/>
        <v>2.5</v>
      </c>
      <c r="AH200" s="4">
        <f t="shared" si="151"/>
        <v>1.5</v>
      </c>
      <c r="AI200" s="4">
        <f t="shared" si="152"/>
        <v>1</v>
      </c>
      <c r="AJ200" s="4">
        <f t="shared" si="153"/>
        <v>1.3</v>
      </c>
      <c r="AK200" s="4">
        <f t="shared" si="154"/>
        <v>1.1</v>
      </c>
      <c r="AL200" s="4">
        <f t="shared" si="155"/>
        <v>0</v>
      </c>
      <c r="AM200" s="5">
        <v>1</v>
      </c>
      <c r="AO200" s="4">
        <f t="shared" si="156"/>
        <v>5.362500000000001</v>
      </c>
    </row>
    <row r="201" spans="1:41" ht="12.75">
      <c r="A201" t="s">
        <v>63</v>
      </c>
      <c r="B201" t="s">
        <v>84</v>
      </c>
      <c r="C201" s="9">
        <f t="shared" si="134"/>
        <v>6.5116071428571445</v>
      </c>
      <c r="D201" t="s">
        <v>4</v>
      </c>
      <c r="E201" s="18" t="s">
        <v>8</v>
      </c>
      <c r="F201" s="7">
        <v>0</v>
      </c>
      <c r="G201" s="3" t="s">
        <v>11</v>
      </c>
      <c r="H201" s="3"/>
      <c r="I201" s="3"/>
      <c r="J201" s="3"/>
      <c r="K201" s="3" t="s">
        <v>2</v>
      </c>
      <c r="L201" s="3"/>
      <c r="M201" s="3"/>
      <c r="N201" s="10" t="str">
        <f t="shared" si="147"/>
        <v>2/3</v>
      </c>
      <c r="O201" s="10">
        <v>3</v>
      </c>
      <c r="P201" s="10">
        <v>-20</v>
      </c>
      <c r="Q201" s="10">
        <v>-20</v>
      </c>
      <c r="R201" s="10">
        <v>-20</v>
      </c>
      <c r="S201" s="5">
        <v>4</v>
      </c>
      <c r="T201" s="5">
        <v>6</v>
      </c>
      <c r="U201" s="5">
        <v>7</v>
      </c>
      <c r="V201" s="9">
        <f aca="true" t="shared" si="157" ref="V201:V217">ROUND(O201/3+P201/2+IF(Q201&gt;-20,Q201,-20)/2+IF(R201&gt;-20,R201,-20)/3.5,0)</f>
        <v>-25</v>
      </c>
      <c r="W201" s="7">
        <v>360</v>
      </c>
      <c r="X201" s="4" t="s">
        <v>21</v>
      </c>
      <c r="Y201" s="14" t="s">
        <v>83</v>
      </c>
      <c r="Z201" s="5" t="s">
        <v>74</v>
      </c>
      <c r="AB201" s="5">
        <v>10.5</v>
      </c>
      <c r="AC201" s="7">
        <f t="shared" si="148"/>
        <v>8.5</v>
      </c>
      <c r="AD201" s="6">
        <f t="shared" si="149"/>
        <v>1.4</v>
      </c>
      <c r="AE201" s="5"/>
      <c r="AF201" s="4"/>
      <c r="AG201" s="4">
        <f t="shared" si="150"/>
        <v>6.071428571428572</v>
      </c>
      <c r="AH201" s="4">
        <f t="shared" si="151"/>
        <v>1.5</v>
      </c>
      <c r="AI201" s="4">
        <f t="shared" si="152"/>
        <v>1.25</v>
      </c>
      <c r="AJ201" s="4">
        <f t="shared" si="153"/>
        <v>1.3</v>
      </c>
      <c r="AK201" s="4">
        <f t="shared" si="154"/>
        <v>1.1</v>
      </c>
      <c r="AL201" s="4">
        <f t="shared" si="155"/>
        <v>0</v>
      </c>
      <c r="AM201" s="5">
        <v>1</v>
      </c>
      <c r="AO201" s="4">
        <f t="shared" si="156"/>
        <v>16.27901785714286</v>
      </c>
    </row>
    <row r="202" spans="1:41" ht="12.75">
      <c r="A202" t="s">
        <v>80</v>
      </c>
      <c r="B202" s="12" t="s">
        <v>82</v>
      </c>
      <c r="C202" s="9">
        <f t="shared" si="134"/>
        <v>9.954341317365271</v>
      </c>
      <c r="D202" t="s">
        <v>4</v>
      </c>
      <c r="E202" s="18" t="s">
        <v>8</v>
      </c>
      <c r="F202" s="7">
        <v>0</v>
      </c>
      <c r="G202" s="3" t="s">
        <v>15</v>
      </c>
      <c r="H202" s="3"/>
      <c r="I202" s="3"/>
      <c r="J202" s="3"/>
      <c r="K202" s="3" t="s">
        <v>2</v>
      </c>
      <c r="L202" s="3"/>
      <c r="M202" s="3"/>
      <c r="N202" s="10" t="str">
        <f t="shared" si="147"/>
        <v>2/3</v>
      </c>
      <c r="O202" s="10">
        <v>3</v>
      </c>
      <c r="P202" s="10">
        <v>-20</v>
      </c>
      <c r="Q202" s="10">
        <v>-20</v>
      </c>
      <c r="R202" s="10">
        <v>-20</v>
      </c>
      <c r="S202" s="5">
        <v>4</v>
      </c>
      <c r="T202" s="5">
        <v>6</v>
      </c>
      <c r="U202" s="5">
        <v>7</v>
      </c>
      <c r="V202" s="9">
        <f t="shared" si="157"/>
        <v>-25</v>
      </c>
      <c r="W202" s="7">
        <v>360</v>
      </c>
      <c r="X202" s="4" t="s">
        <v>21</v>
      </c>
      <c r="Y202" s="14"/>
      <c r="Z202" s="5" t="s">
        <v>81</v>
      </c>
      <c r="AB202" s="5">
        <v>17.5</v>
      </c>
      <c r="AC202" s="7">
        <f t="shared" si="148"/>
        <v>15.5</v>
      </c>
      <c r="AD202" s="6">
        <f t="shared" si="149"/>
        <v>1.67</v>
      </c>
      <c r="AE202" s="5"/>
      <c r="AF202" s="4"/>
      <c r="AG202" s="4">
        <f t="shared" si="150"/>
        <v>9.281437125748504</v>
      </c>
      <c r="AH202" s="4">
        <f t="shared" si="151"/>
        <v>1.5</v>
      </c>
      <c r="AI202" s="4">
        <f t="shared" si="152"/>
        <v>1.25</v>
      </c>
      <c r="AJ202" s="4">
        <f t="shared" si="153"/>
        <v>1.3</v>
      </c>
      <c r="AK202" s="4">
        <f t="shared" si="154"/>
        <v>1.1</v>
      </c>
      <c r="AL202" s="4">
        <f t="shared" si="155"/>
        <v>0</v>
      </c>
      <c r="AM202" s="5">
        <v>1</v>
      </c>
      <c r="AO202" s="4">
        <f t="shared" si="156"/>
        <v>24.885853293413177</v>
      </c>
    </row>
    <row r="203" spans="1:41" ht="12.75">
      <c r="A203" t="s">
        <v>80</v>
      </c>
      <c r="B203" s="12" t="s">
        <v>79</v>
      </c>
      <c r="C203" s="9">
        <f t="shared" si="134"/>
        <v>3.75375</v>
      </c>
      <c r="D203" t="s">
        <v>4</v>
      </c>
      <c r="E203" s="18" t="s">
        <v>55</v>
      </c>
      <c r="F203" s="7">
        <v>0</v>
      </c>
      <c r="G203" s="3" t="s">
        <v>3</v>
      </c>
      <c r="H203" s="3"/>
      <c r="I203" s="3"/>
      <c r="J203" s="3"/>
      <c r="K203" s="3" t="s">
        <v>2</v>
      </c>
      <c r="L203" s="3"/>
      <c r="M203" s="3"/>
      <c r="N203" s="10" t="str">
        <f t="shared" si="147"/>
        <v>Fig</v>
      </c>
      <c r="O203" s="10">
        <v>3</v>
      </c>
      <c r="P203" s="10">
        <v>-20</v>
      </c>
      <c r="Q203" s="10">
        <v>-20</v>
      </c>
      <c r="R203" s="10">
        <v>-20</v>
      </c>
      <c r="S203" s="5">
        <v>3</v>
      </c>
      <c r="T203" s="5">
        <v>5</v>
      </c>
      <c r="U203" s="5">
        <v>7</v>
      </c>
      <c r="V203" s="9">
        <f t="shared" si="157"/>
        <v>-25</v>
      </c>
      <c r="W203" s="7">
        <v>360</v>
      </c>
      <c r="X203" s="4" t="s">
        <v>21</v>
      </c>
      <c r="Y203" s="14"/>
      <c r="Z203" s="5" t="s">
        <v>78</v>
      </c>
      <c r="AB203" s="5">
        <v>5.5</v>
      </c>
      <c r="AC203" s="7">
        <f t="shared" si="148"/>
        <v>3.5</v>
      </c>
      <c r="AD203" s="6">
        <f t="shared" si="149"/>
        <v>1</v>
      </c>
      <c r="AE203" s="5"/>
      <c r="AF203" s="4"/>
      <c r="AG203" s="4">
        <f t="shared" si="150"/>
        <v>3.5</v>
      </c>
      <c r="AH203" s="4">
        <f>VLOOKUP(ROUND((T203+U203)/2,0),FireControl,2)</f>
        <v>1.5</v>
      </c>
      <c r="AI203" s="4">
        <f t="shared" si="152"/>
        <v>1</v>
      </c>
      <c r="AJ203" s="4">
        <f t="shared" si="153"/>
        <v>1.3</v>
      </c>
      <c r="AK203" s="4">
        <f t="shared" si="154"/>
        <v>1.1</v>
      </c>
      <c r="AL203" s="4">
        <f t="shared" si="155"/>
        <v>0</v>
      </c>
      <c r="AM203" s="5">
        <v>1</v>
      </c>
      <c r="AO203" s="4">
        <f t="shared" si="156"/>
        <v>7.507500000000001</v>
      </c>
    </row>
    <row r="204" spans="1:41" ht="12.75">
      <c r="A204" t="s">
        <v>61</v>
      </c>
      <c r="B204" s="12" t="s">
        <v>77</v>
      </c>
      <c r="C204" s="9">
        <f t="shared" si="134"/>
        <v>11.49107142857143</v>
      </c>
      <c r="D204" s="17" t="s">
        <v>56</v>
      </c>
      <c r="E204" s="18" t="s">
        <v>8</v>
      </c>
      <c r="F204" s="7">
        <v>0</v>
      </c>
      <c r="G204" s="3" t="s">
        <v>11</v>
      </c>
      <c r="H204" s="3"/>
      <c r="I204" s="3"/>
      <c r="J204" s="3"/>
      <c r="K204" s="3" t="s">
        <v>2</v>
      </c>
      <c r="L204" s="3"/>
      <c r="M204" s="3"/>
      <c r="N204" s="10" t="str">
        <f t="shared" si="147"/>
        <v>2/1</v>
      </c>
      <c r="O204" s="10">
        <v>3</v>
      </c>
      <c r="P204" s="10">
        <v>-20</v>
      </c>
      <c r="Q204" s="10">
        <v>-20</v>
      </c>
      <c r="R204" s="10">
        <v>-20</v>
      </c>
      <c r="S204" s="5">
        <v>4</v>
      </c>
      <c r="T204" s="5">
        <v>5</v>
      </c>
      <c r="U204" s="5">
        <v>6</v>
      </c>
      <c r="V204" s="9">
        <f t="shared" si="157"/>
        <v>-25</v>
      </c>
      <c r="W204" s="7">
        <v>360</v>
      </c>
      <c r="X204" s="4" t="s">
        <v>21</v>
      </c>
      <c r="Y204" s="14"/>
      <c r="Z204" s="5" t="s">
        <v>76</v>
      </c>
      <c r="AB204" s="5">
        <v>19</v>
      </c>
      <c r="AC204" s="7">
        <f>AB204-4</f>
        <v>15</v>
      </c>
      <c r="AD204" s="6">
        <f t="shared" si="149"/>
        <v>1.4</v>
      </c>
      <c r="AE204" s="5"/>
      <c r="AF204" s="4"/>
      <c r="AG204" s="4">
        <f t="shared" si="150"/>
        <v>10.714285714285715</v>
      </c>
      <c r="AH204" s="4">
        <f>VLOOKUP(ROUND((S204+T204+U204)/3,0),FireControl,2)</f>
        <v>1.4</v>
      </c>
      <c r="AI204" s="4">
        <f t="shared" si="152"/>
        <v>0.65</v>
      </c>
      <c r="AJ204" s="4">
        <f t="shared" si="153"/>
        <v>1.3</v>
      </c>
      <c r="AK204" s="4">
        <f t="shared" si="154"/>
        <v>1.1</v>
      </c>
      <c r="AL204" s="4">
        <f t="shared" si="155"/>
        <v>0</v>
      </c>
      <c r="AM204" s="5">
        <v>1</v>
      </c>
      <c r="AO204" s="4">
        <f t="shared" si="156"/>
        <v>13.942500000000003</v>
      </c>
    </row>
    <row r="205" spans="1:41" ht="12.75">
      <c r="A205" t="s">
        <v>75</v>
      </c>
      <c r="B205" s="12" t="s">
        <v>75</v>
      </c>
      <c r="C205" s="9">
        <f t="shared" si="134"/>
        <v>4.979464285714287</v>
      </c>
      <c r="D205" t="s">
        <v>4</v>
      </c>
      <c r="E205" s="18" t="s">
        <v>8</v>
      </c>
      <c r="F205" s="7">
        <v>0</v>
      </c>
      <c r="G205" s="3" t="s">
        <v>11</v>
      </c>
      <c r="H205" s="3"/>
      <c r="I205" s="3"/>
      <c r="J205" s="3"/>
      <c r="K205" s="3" t="s">
        <v>2</v>
      </c>
      <c r="L205" s="3"/>
      <c r="M205" s="3"/>
      <c r="N205" s="10" t="str">
        <f t="shared" si="147"/>
        <v>2/3</v>
      </c>
      <c r="O205" s="10">
        <v>3</v>
      </c>
      <c r="P205" s="10">
        <v>-20</v>
      </c>
      <c r="Q205" s="10">
        <v>-20</v>
      </c>
      <c r="R205" s="10">
        <v>-20</v>
      </c>
      <c r="S205" s="5">
        <v>4</v>
      </c>
      <c r="T205" s="5">
        <v>6</v>
      </c>
      <c r="U205" s="5">
        <v>7</v>
      </c>
      <c r="V205" s="9">
        <f t="shared" si="157"/>
        <v>-25</v>
      </c>
      <c r="W205" s="7">
        <v>360</v>
      </c>
      <c r="X205" s="4" t="s">
        <v>21</v>
      </c>
      <c r="Y205" s="14" t="s">
        <v>74</v>
      </c>
      <c r="Z205" s="5" t="s">
        <v>74</v>
      </c>
      <c r="AB205" s="5">
        <v>10.5</v>
      </c>
      <c r="AC205" s="7">
        <f>AB205-4</f>
        <v>6.5</v>
      </c>
      <c r="AD205" s="6">
        <f t="shared" si="149"/>
        <v>1.4</v>
      </c>
      <c r="AE205" s="5"/>
      <c r="AF205" s="4"/>
      <c r="AG205" s="4">
        <f t="shared" si="150"/>
        <v>4.642857142857143</v>
      </c>
      <c r="AH205" s="4">
        <f>VLOOKUP(ROUND((S205+T205+U205)/3,0),FireControl,2)</f>
        <v>1.5</v>
      </c>
      <c r="AI205" s="4">
        <f t="shared" si="152"/>
        <v>1.25</v>
      </c>
      <c r="AJ205" s="4">
        <f t="shared" si="153"/>
        <v>1.3</v>
      </c>
      <c r="AK205" s="4">
        <f t="shared" si="154"/>
        <v>1.1</v>
      </c>
      <c r="AL205" s="4">
        <f t="shared" si="155"/>
        <v>0</v>
      </c>
      <c r="AM205" s="5">
        <v>1</v>
      </c>
      <c r="AO205" s="4">
        <f t="shared" si="156"/>
        <v>12.448660714285719</v>
      </c>
    </row>
    <row r="206" spans="2:41" ht="12.75">
      <c r="B206" s="12"/>
      <c r="C206" s="9">
        <f t="shared" si="134"/>
        <v>0</v>
      </c>
      <c r="E206" s="18"/>
      <c r="F206" s="7"/>
      <c r="G206" s="3"/>
      <c r="H206" s="3"/>
      <c r="I206" s="3"/>
      <c r="J206" s="3"/>
      <c r="K206" s="3"/>
      <c r="L206" s="3"/>
      <c r="M206" s="3"/>
      <c r="N206" s="10"/>
      <c r="O206" s="10"/>
      <c r="P206" s="10"/>
      <c r="Q206" s="10"/>
      <c r="R206" s="10"/>
      <c r="S206" s="5"/>
      <c r="T206" s="5"/>
      <c r="U206" s="5"/>
      <c r="V206" s="9">
        <f t="shared" si="157"/>
        <v>0</v>
      </c>
      <c r="W206" s="7"/>
      <c r="X206" s="4"/>
      <c r="Y206" s="14"/>
      <c r="Z206" s="5"/>
      <c r="AB206" s="5"/>
      <c r="AC206" s="7"/>
      <c r="AD206" s="6"/>
      <c r="AE206" s="5"/>
      <c r="AF206" s="4"/>
      <c r="AG206" s="4"/>
      <c r="AH206" s="4"/>
      <c r="AI206" s="4"/>
      <c r="AJ206" s="4"/>
      <c r="AK206" s="4"/>
      <c r="AL206" s="4"/>
      <c r="AO206" s="4"/>
    </row>
    <row r="207" spans="1:41" ht="12.75">
      <c r="A207" s="20" t="s">
        <v>954</v>
      </c>
      <c r="B207" s="12"/>
      <c r="C207" s="9">
        <f t="shared" si="134"/>
        <v>0</v>
      </c>
      <c r="E207" s="3"/>
      <c r="F207" s="7"/>
      <c r="G207" s="5"/>
      <c r="H207" s="5"/>
      <c r="I207" s="5"/>
      <c r="J207" s="5"/>
      <c r="K207" s="5"/>
      <c r="L207" s="5"/>
      <c r="M207" s="5"/>
      <c r="N207" s="10"/>
      <c r="O207" s="10"/>
      <c r="P207" s="10"/>
      <c r="Q207" s="10"/>
      <c r="R207" s="10"/>
      <c r="S207" s="5"/>
      <c r="T207" s="5"/>
      <c r="U207" s="5"/>
      <c r="V207" s="9">
        <f t="shared" si="157"/>
        <v>0</v>
      </c>
      <c r="W207" s="7"/>
      <c r="X207" s="4"/>
      <c r="Y207" s="14"/>
      <c r="Z207" s="5"/>
      <c r="AB207" s="5"/>
      <c r="AC207" s="19" t="s">
        <v>73</v>
      </c>
      <c r="AD207" s="6"/>
      <c r="AE207" s="5"/>
      <c r="AF207" s="4"/>
      <c r="AG207" s="4"/>
      <c r="AH207" s="4"/>
      <c r="AI207" s="4"/>
      <c r="AJ207" s="7"/>
      <c r="AK207" s="4"/>
      <c r="AL207" s="4"/>
      <c r="AO207" s="4"/>
    </row>
    <row r="208" spans="1:41" ht="12.75">
      <c r="A208" t="s">
        <v>72</v>
      </c>
      <c r="B208" s="12" t="s">
        <v>71</v>
      </c>
      <c r="C208" s="9">
        <f t="shared" si="134"/>
        <v>2.4310000000000005</v>
      </c>
      <c r="D208" t="s">
        <v>4</v>
      </c>
      <c r="E208" s="18" t="s">
        <v>55</v>
      </c>
      <c r="F208" s="7">
        <v>0</v>
      </c>
      <c r="G208" s="3" t="s">
        <v>3</v>
      </c>
      <c r="H208" s="3"/>
      <c r="I208" s="3"/>
      <c r="J208" s="3"/>
      <c r="K208" s="3" t="s">
        <v>2</v>
      </c>
      <c r="L208" s="3"/>
      <c r="M208" s="3"/>
      <c r="N208" s="10" t="str">
        <f aca="true" t="shared" si="158" ref="N208:N217">VLOOKUP(D208,Weapon_range,(VLOOKUP(E208,weapon_size_col,2,FALSE)),FALSE)</f>
        <v>Fig</v>
      </c>
      <c r="O208" s="10">
        <v>9</v>
      </c>
      <c r="P208" s="10">
        <v>-20</v>
      </c>
      <c r="Q208" s="10">
        <v>-20</v>
      </c>
      <c r="R208" s="10">
        <v>-20</v>
      </c>
      <c r="S208" s="5">
        <v>3</v>
      </c>
      <c r="T208" s="5">
        <v>5</v>
      </c>
      <c r="U208" s="5">
        <v>7</v>
      </c>
      <c r="V208" s="9">
        <f t="shared" si="157"/>
        <v>-23</v>
      </c>
      <c r="W208" s="7">
        <v>360</v>
      </c>
      <c r="X208" s="4" t="s">
        <v>21</v>
      </c>
      <c r="Y208" s="14"/>
      <c r="Z208" s="5" t="s">
        <v>70</v>
      </c>
      <c r="AB208" s="5">
        <v>2</v>
      </c>
      <c r="AC208" s="7">
        <f aca="true" t="shared" si="159" ref="AC208:AC217">AB208</f>
        <v>2</v>
      </c>
      <c r="AD208" s="6">
        <f aca="true" t="shared" si="160" ref="AD208:AD217">VLOOKUP(G208,RoF,2,FALSE)</f>
        <v>1</v>
      </c>
      <c r="AE208" s="5"/>
      <c r="AF208" s="4"/>
      <c r="AG208" s="4">
        <f aca="true" t="shared" si="161" ref="AG208:AG217">AC208/AD208*IF(H208="Y",raking,1)*IF(I208="Y",Pierce,1)*IF(J208="Y",Sustained,1)*IF(K208="Y",standard,1)*IF(L208="Y",Pulse,1)*IF(M208="Y",Flash,1)</f>
        <v>2</v>
      </c>
      <c r="AH208" s="4">
        <f>VLOOKUP(ROUND((S208+T208+U208)/3,0),FireControl,2)</f>
        <v>1.4</v>
      </c>
      <c r="AI208" s="4">
        <f aca="true" t="shared" si="162" ref="AI208:AI217">VLOOKUP(N208,Range,2,FALSE)</f>
        <v>1</v>
      </c>
      <c r="AJ208" s="4">
        <f aca="true" t="shared" si="163" ref="AJ208:AJ217">VLOOKUP(W208,Arc,2,FALSE)</f>
        <v>1.3</v>
      </c>
      <c r="AK208" s="4">
        <f aca="true" t="shared" si="164" ref="AK208:AK217">VLOOKUP(X208,Interceptable,2,FALSE)</f>
        <v>1.1</v>
      </c>
      <c r="AL208" s="4">
        <f aca="true" t="shared" si="165" ref="AL208:AL217">VLOOKUP(F208,Interceptability,2,FALSE)</f>
        <v>0</v>
      </c>
      <c r="AM208" s="5">
        <v>1</v>
      </c>
      <c r="AO208" s="4">
        <f aca="true" t="shared" si="166" ref="AO208:AO217">MAX(AG208*AH208*AI208*AJ208*AK208*AM208,AL208)+MIN(AG208*AH208*AI208*AJ208*AK208,AL208)/2</f>
        <v>4.004</v>
      </c>
    </row>
    <row r="209" spans="1:41" ht="12.75">
      <c r="A209" t="s">
        <v>69</v>
      </c>
      <c r="B209" t="s">
        <v>69</v>
      </c>
      <c r="C209" s="9">
        <f t="shared" si="134"/>
        <v>3.8610000000000007</v>
      </c>
      <c r="D209" t="s">
        <v>4</v>
      </c>
      <c r="E209" s="18" t="s">
        <v>55</v>
      </c>
      <c r="F209" s="7">
        <v>0</v>
      </c>
      <c r="G209" s="3" t="s">
        <v>3</v>
      </c>
      <c r="H209" s="3"/>
      <c r="I209" s="3"/>
      <c r="J209" s="3"/>
      <c r="K209" s="3" t="s">
        <v>2</v>
      </c>
      <c r="L209" s="3"/>
      <c r="M209" s="3"/>
      <c r="N209" s="10" t="str">
        <f t="shared" si="158"/>
        <v>Fig</v>
      </c>
      <c r="O209" s="10">
        <v>10</v>
      </c>
      <c r="P209" s="10">
        <v>-20</v>
      </c>
      <c r="Q209" s="10">
        <v>-20</v>
      </c>
      <c r="R209" s="10">
        <v>-20</v>
      </c>
      <c r="S209" s="5">
        <v>3</v>
      </c>
      <c r="T209" s="5">
        <v>5</v>
      </c>
      <c r="U209" s="5">
        <v>8</v>
      </c>
      <c r="V209" s="9">
        <f t="shared" si="157"/>
        <v>-22</v>
      </c>
      <c r="W209" s="7">
        <v>360</v>
      </c>
      <c r="X209" s="4" t="s">
        <v>21</v>
      </c>
      <c r="Y209" s="14"/>
      <c r="Z209" s="5">
        <v>3</v>
      </c>
      <c r="AB209" s="5">
        <v>3</v>
      </c>
      <c r="AC209" s="7">
        <f t="shared" si="159"/>
        <v>3</v>
      </c>
      <c r="AD209" s="6">
        <f t="shared" si="160"/>
        <v>1</v>
      </c>
      <c r="AE209" s="5"/>
      <c r="AF209" s="4"/>
      <c r="AG209" s="4">
        <f t="shared" si="161"/>
        <v>3</v>
      </c>
      <c r="AH209" s="4">
        <f aca="true" t="shared" si="167" ref="AH209:AH217">VLOOKUP(ROUND((T209+U209)/2,0),FireControl,2)</f>
        <v>1.61</v>
      </c>
      <c r="AI209" s="4">
        <f t="shared" si="162"/>
        <v>1</v>
      </c>
      <c r="AJ209" s="4">
        <f t="shared" si="163"/>
        <v>1.3</v>
      </c>
      <c r="AK209" s="4">
        <f t="shared" si="164"/>
        <v>1.1</v>
      </c>
      <c r="AL209" s="4">
        <f t="shared" si="165"/>
        <v>0</v>
      </c>
      <c r="AM209" s="5">
        <v>1</v>
      </c>
      <c r="AO209" s="4">
        <f t="shared" si="166"/>
        <v>6.9069</v>
      </c>
    </row>
    <row r="210" spans="1:41" ht="12.75">
      <c r="A210" t="s">
        <v>68</v>
      </c>
      <c r="B210" s="12" t="s">
        <v>68</v>
      </c>
      <c r="C210" s="9">
        <f t="shared" si="134"/>
        <v>4.504499999999999</v>
      </c>
      <c r="D210" t="s">
        <v>4</v>
      </c>
      <c r="E210" s="18" t="s">
        <v>55</v>
      </c>
      <c r="F210" s="7">
        <v>0</v>
      </c>
      <c r="G210" s="3" t="s">
        <v>3</v>
      </c>
      <c r="H210" s="3"/>
      <c r="I210" s="3"/>
      <c r="J210" s="3"/>
      <c r="K210" s="3" t="s">
        <v>2</v>
      </c>
      <c r="L210" s="3"/>
      <c r="M210" s="3"/>
      <c r="N210" s="10" t="str">
        <f t="shared" si="158"/>
        <v>Fig</v>
      </c>
      <c r="O210" s="10">
        <v>11</v>
      </c>
      <c r="P210" s="10">
        <v>-20</v>
      </c>
      <c r="Q210" s="10">
        <v>-20</v>
      </c>
      <c r="R210" s="10">
        <v>-20</v>
      </c>
      <c r="S210" s="5">
        <v>3</v>
      </c>
      <c r="T210" s="5">
        <v>5</v>
      </c>
      <c r="U210" s="5">
        <v>8</v>
      </c>
      <c r="V210" s="9">
        <f t="shared" si="157"/>
        <v>-22</v>
      </c>
      <c r="W210" s="7">
        <v>360</v>
      </c>
      <c r="X210" s="4" t="s">
        <v>21</v>
      </c>
      <c r="Y210" s="14"/>
      <c r="Z210" s="5" t="s">
        <v>64</v>
      </c>
      <c r="AB210" s="5">
        <v>3.5</v>
      </c>
      <c r="AC210" s="7">
        <f t="shared" si="159"/>
        <v>3.5</v>
      </c>
      <c r="AD210" s="6">
        <f t="shared" si="160"/>
        <v>1</v>
      </c>
      <c r="AE210" s="5"/>
      <c r="AF210" s="4"/>
      <c r="AG210" s="4">
        <f t="shared" si="161"/>
        <v>3.5</v>
      </c>
      <c r="AH210" s="4">
        <f t="shared" si="167"/>
        <v>1.61</v>
      </c>
      <c r="AI210" s="4">
        <f t="shared" si="162"/>
        <v>1</v>
      </c>
      <c r="AJ210" s="4">
        <f t="shared" si="163"/>
        <v>1.3</v>
      </c>
      <c r="AK210" s="4">
        <f t="shared" si="164"/>
        <v>1.1</v>
      </c>
      <c r="AL210" s="4">
        <f t="shared" si="165"/>
        <v>0</v>
      </c>
      <c r="AM210" s="5">
        <v>1</v>
      </c>
      <c r="AO210" s="4">
        <f t="shared" si="166"/>
        <v>8.058050000000001</v>
      </c>
    </row>
    <row r="211" spans="1:41" ht="12.75">
      <c r="A211" t="s">
        <v>67</v>
      </c>
      <c r="B211" s="12" t="s">
        <v>67</v>
      </c>
      <c r="C211" s="9">
        <f t="shared" si="134"/>
        <v>3.2175</v>
      </c>
      <c r="D211" t="s">
        <v>4</v>
      </c>
      <c r="E211" s="18" t="s">
        <v>55</v>
      </c>
      <c r="F211" s="7">
        <v>0</v>
      </c>
      <c r="G211" s="3" t="s">
        <v>3</v>
      </c>
      <c r="H211" s="3"/>
      <c r="I211" s="3"/>
      <c r="J211" s="3"/>
      <c r="K211" s="3" t="s">
        <v>2</v>
      </c>
      <c r="L211" s="3"/>
      <c r="M211" s="3"/>
      <c r="N211" s="10" t="str">
        <f t="shared" si="158"/>
        <v>Fig</v>
      </c>
      <c r="O211" s="10">
        <v>12</v>
      </c>
      <c r="P211" s="10">
        <v>-20</v>
      </c>
      <c r="Q211" s="10">
        <v>-20</v>
      </c>
      <c r="R211" s="10">
        <v>-20</v>
      </c>
      <c r="S211" s="5">
        <v>3</v>
      </c>
      <c r="T211" s="5">
        <v>5</v>
      </c>
      <c r="U211" s="5">
        <v>9</v>
      </c>
      <c r="V211" s="9">
        <f t="shared" si="157"/>
        <v>-22</v>
      </c>
      <c r="W211" s="7">
        <v>360</v>
      </c>
      <c r="X211" s="4" t="s">
        <v>21</v>
      </c>
      <c r="Y211" s="14"/>
      <c r="Z211" s="5" t="s">
        <v>53</v>
      </c>
      <c r="AB211" s="5">
        <v>2.5</v>
      </c>
      <c r="AC211" s="7">
        <f t="shared" si="159"/>
        <v>2.5</v>
      </c>
      <c r="AD211" s="6">
        <f t="shared" si="160"/>
        <v>1</v>
      </c>
      <c r="AE211" s="5"/>
      <c r="AF211" s="4"/>
      <c r="AG211" s="4">
        <f t="shared" si="161"/>
        <v>2.5</v>
      </c>
      <c r="AH211" s="4">
        <f t="shared" si="167"/>
        <v>1.61</v>
      </c>
      <c r="AI211" s="4">
        <f t="shared" si="162"/>
        <v>1</v>
      </c>
      <c r="AJ211" s="4">
        <f t="shared" si="163"/>
        <v>1.3</v>
      </c>
      <c r="AK211" s="4">
        <f t="shared" si="164"/>
        <v>1.1</v>
      </c>
      <c r="AL211" s="4">
        <f t="shared" si="165"/>
        <v>0</v>
      </c>
      <c r="AM211" s="5">
        <v>1</v>
      </c>
      <c r="AO211" s="4">
        <f t="shared" si="166"/>
        <v>5.755750000000002</v>
      </c>
    </row>
    <row r="212" spans="1:41" ht="12.75">
      <c r="A212" t="s">
        <v>796</v>
      </c>
      <c r="B212" t="s">
        <v>796</v>
      </c>
      <c r="C212" s="9">
        <f>AG212*AJ212*AK212*(1+AL212/10)*AM212*(2+V212/20)</f>
        <v>4.504499999999999</v>
      </c>
      <c r="D212" t="s">
        <v>4</v>
      </c>
      <c r="E212" s="18" t="s">
        <v>55</v>
      </c>
      <c r="F212" s="7">
        <v>0</v>
      </c>
      <c r="G212" s="3" t="s">
        <v>3</v>
      </c>
      <c r="H212" s="3"/>
      <c r="I212" s="3"/>
      <c r="J212" s="3"/>
      <c r="K212" s="3" t="s">
        <v>2</v>
      </c>
      <c r="L212" s="3"/>
      <c r="M212" s="3"/>
      <c r="N212" s="10" t="str">
        <f>VLOOKUP(D212,Weapon_range,(VLOOKUP(E212,weapon_size_col,2,FALSE)),FALSE)</f>
        <v>Fig</v>
      </c>
      <c r="O212" s="10">
        <v>11</v>
      </c>
      <c r="P212" s="10">
        <v>-20</v>
      </c>
      <c r="Q212" s="10">
        <v>-20</v>
      </c>
      <c r="R212" s="10">
        <v>-20</v>
      </c>
      <c r="S212" s="5">
        <v>4</v>
      </c>
      <c r="T212" s="5">
        <v>6</v>
      </c>
      <c r="U212" s="5">
        <v>7</v>
      </c>
      <c r="V212" s="9">
        <f t="shared" si="157"/>
        <v>-22</v>
      </c>
      <c r="W212" s="7">
        <v>360</v>
      </c>
      <c r="X212" s="4" t="s">
        <v>21</v>
      </c>
      <c r="Y212" s="14" t="s">
        <v>83</v>
      </c>
      <c r="Z212" s="5" t="s">
        <v>64</v>
      </c>
      <c r="AB212" s="5">
        <v>3.5</v>
      </c>
      <c r="AC212" s="7">
        <f t="shared" si="159"/>
        <v>3.5</v>
      </c>
      <c r="AD212" s="6">
        <f>VLOOKUP(G212,RoF,2,FALSE)</f>
        <v>1</v>
      </c>
      <c r="AE212" s="5"/>
      <c r="AF212" s="4"/>
      <c r="AG212" s="4">
        <f>AC212/AD212*IF(H212="Y",raking,1)*IF(I212="Y",Pierce,1)*IF(J212="Y",Sustained,1)*IF(K212="Y",standard,1)*IF(L212="Y",Pulse,1)*IF(M212="Y",Flash,1)</f>
        <v>3.5</v>
      </c>
      <c r="AH212" s="4">
        <f>VLOOKUP(ROUND((S212+T212+U212)/3,0),FireControl,2)</f>
        <v>1.5</v>
      </c>
      <c r="AI212" s="4">
        <f>VLOOKUP(N212,Range,2,FALSE)</f>
        <v>1</v>
      </c>
      <c r="AJ212" s="4">
        <f>VLOOKUP(W212,Arc,2,FALSE)</f>
        <v>1.3</v>
      </c>
      <c r="AK212" s="4">
        <f>VLOOKUP(X212,Interceptable,2,FALSE)</f>
        <v>1.1</v>
      </c>
      <c r="AL212" s="4">
        <f>VLOOKUP(F212,Interceptability,2,FALSE)</f>
        <v>0</v>
      </c>
      <c r="AM212" s="5">
        <v>1</v>
      </c>
      <c r="AO212" s="4">
        <f>MAX(AG212*AH212*AI212*AJ212*AK212*AM212,AL212)+MIN(AG212*AH212*AI212*AJ212*AK212,AL212)/2</f>
        <v>7.507500000000001</v>
      </c>
    </row>
    <row r="213" spans="1:41" ht="12.75">
      <c r="A213" t="s">
        <v>66</v>
      </c>
      <c r="B213" s="12" t="s">
        <v>65</v>
      </c>
      <c r="C213" s="9">
        <f t="shared" si="134"/>
        <v>4.504499999999999</v>
      </c>
      <c r="D213" t="s">
        <v>4</v>
      </c>
      <c r="E213" s="18" t="s">
        <v>55</v>
      </c>
      <c r="F213" s="7">
        <v>0</v>
      </c>
      <c r="G213" s="3" t="s">
        <v>3</v>
      </c>
      <c r="H213" s="3"/>
      <c r="I213" s="3"/>
      <c r="J213" s="3"/>
      <c r="K213" s="3" t="s">
        <v>2</v>
      </c>
      <c r="L213" s="3"/>
      <c r="M213" s="3"/>
      <c r="N213" s="10" t="str">
        <f t="shared" si="158"/>
        <v>Fig</v>
      </c>
      <c r="O213" s="10">
        <v>10</v>
      </c>
      <c r="P213" s="10">
        <v>-20</v>
      </c>
      <c r="Q213" s="10">
        <v>-20</v>
      </c>
      <c r="R213" s="10">
        <v>-20</v>
      </c>
      <c r="S213" s="5">
        <v>3</v>
      </c>
      <c r="T213" s="5">
        <v>5</v>
      </c>
      <c r="U213" s="5">
        <v>8</v>
      </c>
      <c r="V213" s="9">
        <f t="shared" si="157"/>
        <v>-22</v>
      </c>
      <c r="W213" s="7">
        <v>360</v>
      </c>
      <c r="X213" s="4" t="s">
        <v>21</v>
      </c>
      <c r="Y213" s="14"/>
      <c r="Z213" s="5" t="s">
        <v>64</v>
      </c>
      <c r="AB213" s="5">
        <v>3.5</v>
      </c>
      <c r="AC213" s="7">
        <f t="shared" si="159"/>
        <v>3.5</v>
      </c>
      <c r="AD213" s="6">
        <f t="shared" si="160"/>
        <v>1</v>
      </c>
      <c r="AE213" s="5"/>
      <c r="AF213" s="4"/>
      <c r="AG213" s="4">
        <f t="shared" si="161"/>
        <v>3.5</v>
      </c>
      <c r="AH213" s="4">
        <f t="shared" si="167"/>
        <v>1.61</v>
      </c>
      <c r="AI213" s="4">
        <f t="shared" si="162"/>
        <v>1</v>
      </c>
      <c r="AJ213" s="4">
        <f t="shared" si="163"/>
        <v>1.3</v>
      </c>
      <c r="AK213" s="4">
        <f t="shared" si="164"/>
        <v>1.1</v>
      </c>
      <c r="AL213" s="4">
        <f t="shared" si="165"/>
        <v>0</v>
      </c>
      <c r="AM213" s="5">
        <v>1</v>
      </c>
      <c r="AO213" s="4">
        <f t="shared" si="166"/>
        <v>8.058050000000001</v>
      </c>
    </row>
    <row r="214" spans="1:41" ht="12.75">
      <c r="A214" t="s">
        <v>63</v>
      </c>
      <c r="B214" t="s">
        <v>62</v>
      </c>
      <c r="C214" s="9">
        <f t="shared" si="134"/>
        <v>3.8610000000000007</v>
      </c>
      <c r="D214" t="s">
        <v>4</v>
      </c>
      <c r="E214" s="18" t="s">
        <v>55</v>
      </c>
      <c r="F214" s="7">
        <v>0</v>
      </c>
      <c r="G214" s="3" t="s">
        <v>3</v>
      </c>
      <c r="H214" s="3"/>
      <c r="I214" s="3"/>
      <c r="J214" s="3"/>
      <c r="K214" s="3" t="s">
        <v>2</v>
      </c>
      <c r="L214" s="3"/>
      <c r="M214" s="3"/>
      <c r="N214" s="10" t="str">
        <f t="shared" si="158"/>
        <v>Fig</v>
      </c>
      <c r="O214" s="10">
        <v>10</v>
      </c>
      <c r="P214" s="10">
        <v>-20</v>
      </c>
      <c r="Q214" s="10">
        <v>-20</v>
      </c>
      <c r="R214" s="10">
        <v>-20</v>
      </c>
      <c r="S214" s="5">
        <v>3</v>
      </c>
      <c r="T214" s="5">
        <v>5</v>
      </c>
      <c r="U214" s="5">
        <v>7</v>
      </c>
      <c r="V214" s="9">
        <f t="shared" si="157"/>
        <v>-22</v>
      </c>
      <c r="W214" s="7">
        <v>360</v>
      </c>
      <c r="X214" s="4" t="s">
        <v>21</v>
      </c>
      <c r="Y214" s="14">
        <v>5</v>
      </c>
      <c r="Z214" s="5">
        <v>3</v>
      </c>
      <c r="AB214" s="5">
        <v>3</v>
      </c>
      <c r="AC214" s="7">
        <f t="shared" si="159"/>
        <v>3</v>
      </c>
      <c r="AD214" s="6">
        <f t="shared" si="160"/>
        <v>1</v>
      </c>
      <c r="AE214" s="5"/>
      <c r="AF214" s="4"/>
      <c r="AG214" s="4">
        <f t="shared" si="161"/>
        <v>3</v>
      </c>
      <c r="AH214" s="4">
        <f t="shared" si="167"/>
        <v>1.5</v>
      </c>
      <c r="AI214" s="4">
        <f t="shared" si="162"/>
        <v>1</v>
      </c>
      <c r="AJ214" s="4">
        <f t="shared" si="163"/>
        <v>1.3</v>
      </c>
      <c r="AK214" s="4">
        <f t="shared" si="164"/>
        <v>1.1</v>
      </c>
      <c r="AL214" s="4">
        <f t="shared" si="165"/>
        <v>0</v>
      </c>
      <c r="AM214" s="5">
        <v>1</v>
      </c>
      <c r="AO214" s="4">
        <f t="shared" si="166"/>
        <v>6.435000000000001</v>
      </c>
    </row>
    <row r="215" spans="1:41" ht="12.75">
      <c r="A215" t="s">
        <v>61</v>
      </c>
      <c r="B215" s="12" t="s">
        <v>60</v>
      </c>
      <c r="C215" s="9">
        <f t="shared" si="134"/>
        <v>5.791500000000001</v>
      </c>
      <c r="D215" t="s">
        <v>4</v>
      </c>
      <c r="E215" s="18" t="s">
        <v>55</v>
      </c>
      <c r="F215" s="7">
        <v>0</v>
      </c>
      <c r="G215" s="3" t="s">
        <v>3</v>
      </c>
      <c r="H215" s="3"/>
      <c r="I215" s="3"/>
      <c r="J215" s="3"/>
      <c r="K215" s="3" t="s">
        <v>2</v>
      </c>
      <c r="L215" s="3"/>
      <c r="M215" s="3"/>
      <c r="N215" s="10" t="str">
        <f t="shared" si="158"/>
        <v>Fig</v>
      </c>
      <c r="O215" s="10">
        <v>10</v>
      </c>
      <c r="P215" s="10">
        <v>-20</v>
      </c>
      <c r="Q215" s="10">
        <v>-20</v>
      </c>
      <c r="R215" s="10">
        <v>-20</v>
      </c>
      <c r="S215" s="5">
        <v>3</v>
      </c>
      <c r="T215" s="5">
        <v>5</v>
      </c>
      <c r="U215" s="5">
        <v>6</v>
      </c>
      <c r="V215" s="9">
        <f t="shared" si="157"/>
        <v>-22</v>
      </c>
      <c r="W215" s="7">
        <v>360</v>
      </c>
      <c r="X215" s="4" t="s">
        <v>21</v>
      </c>
      <c r="Y215" s="14"/>
      <c r="Z215" s="5" t="s">
        <v>58</v>
      </c>
      <c r="AB215" s="5">
        <v>4.5</v>
      </c>
      <c r="AC215" s="7">
        <f t="shared" si="159"/>
        <v>4.5</v>
      </c>
      <c r="AD215" s="6">
        <f t="shared" si="160"/>
        <v>1</v>
      </c>
      <c r="AE215" s="5"/>
      <c r="AF215" s="4"/>
      <c r="AG215" s="4">
        <f t="shared" si="161"/>
        <v>4.5</v>
      </c>
      <c r="AH215" s="4">
        <f t="shared" si="167"/>
        <v>1.5</v>
      </c>
      <c r="AI215" s="4">
        <f t="shared" si="162"/>
        <v>1</v>
      </c>
      <c r="AJ215" s="4">
        <f t="shared" si="163"/>
        <v>1.3</v>
      </c>
      <c r="AK215" s="4">
        <f t="shared" si="164"/>
        <v>1.1</v>
      </c>
      <c r="AL215" s="4">
        <f t="shared" si="165"/>
        <v>0</v>
      </c>
      <c r="AM215" s="5">
        <v>1</v>
      </c>
      <c r="AO215" s="4">
        <f t="shared" si="166"/>
        <v>9.652500000000002</v>
      </c>
    </row>
    <row r="216" spans="1:41" ht="12.75">
      <c r="A216" t="s">
        <v>59</v>
      </c>
      <c r="B216" s="12" t="s">
        <v>59</v>
      </c>
      <c r="C216" s="9">
        <f t="shared" si="134"/>
        <v>5.791500000000001</v>
      </c>
      <c r="D216" t="s">
        <v>4</v>
      </c>
      <c r="E216" s="18" t="s">
        <v>55</v>
      </c>
      <c r="F216" s="7">
        <v>0</v>
      </c>
      <c r="G216" s="3" t="s">
        <v>3</v>
      </c>
      <c r="H216" s="3"/>
      <c r="I216" s="3"/>
      <c r="J216" s="3"/>
      <c r="K216" s="3" t="s">
        <v>2</v>
      </c>
      <c r="L216" s="3"/>
      <c r="M216" s="3"/>
      <c r="N216" s="10" t="str">
        <f t="shared" si="158"/>
        <v>Fig</v>
      </c>
      <c r="O216" s="10">
        <v>10</v>
      </c>
      <c r="P216" s="10">
        <v>-20</v>
      </c>
      <c r="Q216" s="10">
        <v>-20</v>
      </c>
      <c r="R216" s="10">
        <v>-20</v>
      </c>
      <c r="S216" s="5">
        <v>3</v>
      </c>
      <c r="T216" s="5">
        <v>5</v>
      </c>
      <c r="U216" s="5">
        <v>8</v>
      </c>
      <c r="V216" s="9">
        <f t="shared" si="157"/>
        <v>-22</v>
      </c>
      <c r="W216" s="7">
        <v>360</v>
      </c>
      <c r="X216" s="4" t="s">
        <v>21</v>
      </c>
      <c r="Y216" s="14"/>
      <c r="Z216" s="5" t="s">
        <v>58</v>
      </c>
      <c r="AB216" s="5">
        <v>4.5</v>
      </c>
      <c r="AC216" s="7">
        <f t="shared" si="159"/>
        <v>4.5</v>
      </c>
      <c r="AD216" s="6">
        <f t="shared" si="160"/>
        <v>1</v>
      </c>
      <c r="AE216" s="5"/>
      <c r="AF216" s="4"/>
      <c r="AG216" s="4">
        <f t="shared" si="161"/>
        <v>4.5</v>
      </c>
      <c r="AH216" s="4">
        <f t="shared" si="167"/>
        <v>1.61</v>
      </c>
      <c r="AI216" s="4">
        <f t="shared" si="162"/>
        <v>1</v>
      </c>
      <c r="AJ216" s="4">
        <f t="shared" si="163"/>
        <v>1.3</v>
      </c>
      <c r="AK216" s="4">
        <f t="shared" si="164"/>
        <v>1.1</v>
      </c>
      <c r="AL216" s="4">
        <f t="shared" si="165"/>
        <v>0</v>
      </c>
      <c r="AM216" s="5">
        <v>1</v>
      </c>
      <c r="AO216" s="4">
        <f t="shared" si="166"/>
        <v>10.36035</v>
      </c>
    </row>
    <row r="217" spans="1:41" ht="12.75">
      <c r="A217" t="s">
        <v>57</v>
      </c>
      <c r="B217" s="12" t="s">
        <v>57</v>
      </c>
      <c r="C217" s="9">
        <f t="shared" si="134"/>
        <v>3.2175</v>
      </c>
      <c r="D217" s="17" t="s">
        <v>56</v>
      </c>
      <c r="E217" s="18" t="s">
        <v>55</v>
      </c>
      <c r="F217" s="7">
        <v>0</v>
      </c>
      <c r="G217" s="3" t="s">
        <v>3</v>
      </c>
      <c r="H217" s="3"/>
      <c r="I217" s="3"/>
      <c r="J217" s="3"/>
      <c r="K217" s="3" t="s">
        <v>2</v>
      </c>
      <c r="L217" s="3"/>
      <c r="M217" s="3"/>
      <c r="N217" s="10" t="str">
        <f t="shared" si="158"/>
        <v>Fig</v>
      </c>
      <c r="O217" s="10">
        <v>12</v>
      </c>
      <c r="P217" s="10">
        <v>-20</v>
      </c>
      <c r="Q217" s="10">
        <v>-20</v>
      </c>
      <c r="R217" s="10">
        <v>-20</v>
      </c>
      <c r="S217" s="5">
        <v>3</v>
      </c>
      <c r="T217" s="5">
        <v>5</v>
      </c>
      <c r="U217" s="5">
        <v>8</v>
      </c>
      <c r="V217" s="9">
        <f t="shared" si="157"/>
        <v>-22</v>
      </c>
      <c r="W217" s="7">
        <v>360</v>
      </c>
      <c r="X217" s="4" t="s">
        <v>21</v>
      </c>
      <c r="Y217" s="14"/>
      <c r="Z217" s="5" t="s">
        <v>53</v>
      </c>
      <c r="AB217" s="5">
        <v>2.5</v>
      </c>
      <c r="AC217" s="7">
        <f t="shared" si="159"/>
        <v>2.5</v>
      </c>
      <c r="AD217" s="6">
        <f t="shared" si="160"/>
        <v>1</v>
      </c>
      <c r="AE217" s="5"/>
      <c r="AF217" s="4"/>
      <c r="AG217" s="4">
        <f t="shared" si="161"/>
        <v>2.5</v>
      </c>
      <c r="AH217" s="4">
        <f t="shared" si="167"/>
        <v>1.61</v>
      </c>
      <c r="AI217" s="4">
        <f t="shared" si="162"/>
        <v>1</v>
      </c>
      <c r="AJ217" s="4">
        <f t="shared" si="163"/>
        <v>1.3</v>
      </c>
      <c r="AK217" s="4">
        <f t="shared" si="164"/>
        <v>1.1</v>
      </c>
      <c r="AL217" s="4">
        <f t="shared" si="165"/>
        <v>0</v>
      </c>
      <c r="AM217" s="5">
        <v>1</v>
      </c>
      <c r="AO217" s="4">
        <f t="shared" si="166"/>
        <v>5.755750000000002</v>
      </c>
    </row>
    <row r="218" spans="2:41" ht="12.75">
      <c r="B218" s="12"/>
      <c r="C218" s="9">
        <f t="shared" si="134"/>
        <v>0</v>
      </c>
      <c r="E218" s="3"/>
      <c r="F218" s="7"/>
      <c r="G218" s="5"/>
      <c r="H218" s="5"/>
      <c r="I218" s="5"/>
      <c r="J218" s="5"/>
      <c r="K218" s="5"/>
      <c r="L218" s="5"/>
      <c r="M218" s="5"/>
      <c r="N218" s="10"/>
      <c r="O218" s="10"/>
      <c r="P218" s="10"/>
      <c r="Q218" s="10"/>
      <c r="R218" s="10"/>
      <c r="S218" s="9"/>
      <c r="T218" s="9"/>
      <c r="U218" s="9"/>
      <c r="V218" s="9"/>
      <c r="W218" s="7"/>
      <c r="X218" s="4"/>
      <c r="Y218" s="14"/>
      <c r="Z218" s="5"/>
      <c r="AB218" s="5"/>
      <c r="AC218" s="7"/>
      <c r="AD218" s="6"/>
      <c r="AE218" s="5"/>
      <c r="AF218" s="4"/>
      <c r="AG218" s="4"/>
      <c r="AH218" s="4"/>
      <c r="AI218" s="4"/>
      <c r="AJ218" s="7"/>
      <c r="AK218" s="4"/>
      <c r="AL218" s="4"/>
      <c r="AO218" s="4"/>
    </row>
    <row r="219" spans="1:41" ht="12.75">
      <c r="A219" s="15" t="s">
        <v>52</v>
      </c>
      <c r="B219" s="12"/>
      <c r="C219" s="9">
        <f t="shared" si="134"/>
        <v>0</v>
      </c>
      <c r="E219" s="3"/>
      <c r="F219" s="7"/>
      <c r="G219" s="5"/>
      <c r="H219" s="5"/>
      <c r="I219" s="5"/>
      <c r="J219" s="5"/>
      <c r="K219" s="5"/>
      <c r="L219" s="5"/>
      <c r="M219" s="5"/>
      <c r="N219" s="10"/>
      <c r="O219" s="10"/>
      <c r="P219" s="10"/>
      <c r="Q219" s="10"/>
      <c r="R219" s="10"/>
      <c r="S219" s="9"/>
      <c r="T219" s="9"/>
      <c r="U219" s="9"/>
      <c r="V219" s="9">
        <f aca="true" t="shared" si="168" ref="V219:V251">ROUND(O219/3+P219/2+IF(Q219&gt;-20,Q219,-20)/2+IF(R219&gt;-20,R219,-20)/3.5,0)</f>
        <v>0</v>
      </c>
      <c r="W219" s="7"/>
      <c r="X219" s="4"/>
      <c r="Y219" s="14"/>
      <c r="Z219" s="5"/>
      <c r="AB219" s="5"/>
      <c r="AC219" s="7"/>
      <c r="AD219" s="6"/>
      <c r="AE219" s="5"/>
      <c r="AF219" s="4"/>
      <c r="AG219" s="4"/>
      <c r="AH219" s="4"/>
      <c r="AI219" s="4"/>
      <c r="AJ219" s="7"/>
      <c r="AK219" s="4"/>
      <c r="AL219" s="4"/>
      <c r="AO219" s="4"/>
    </row>
    <row r="220" spans="2:41" ht="12.75">
      <c r="B220" s="12"/>
      <c r="C220" s="9">
        <f t="shared" si="134"/>
        <v>0</v>
      </c>
      <c r="E220" s="3"/>
      <c r="F220" s="7"/>
      <c r="G220" s="5"/>
      <c r="H220" s="5"/>
      <c r="I220" s="5"/>
      <c r="J220" s="5"/>
      <c r="K220" s="5"/>
      <c r="L220" s="5"/>
      <c r="M220" s="5"/>
      <c r="N220" s="10"/>
      <c r="O220" s="10"/>
      <c r="P220" s="10"/>
      <c r="Q220" s="10"/>
      <c r="R220" s="10"/>
      <c r="S220" s="9"/>
      <c r="T220" s="9"/>
      <c r="U220" s="9"/>
      <c r="V220" s="9">
        <f t="shared" si="168"/>
        <v>0</v>
      </c>
      <c r="W220" s="7"/>
      <c r="X220" s="4"/>
      <c r="Y220" s="14"/>
      <c r="Z220" s="5"/>
      <c r="AB220" s="5"/>
      <c r="AC220" s="7"/>
      <c r="AD220" s="6"/>
      <c r="AE220" s="5"/>
      <c r="AF220" s="4"/>
      <c r="AG220" s="4"/>
      <c r="AH220" s="4"/>
      <c r="AI220" s="4"/>
      <c r="AJ220" s="7"/>
      <c r="AK220" s="4"/>
      <c r="AL220" s="4"/>
      <c r="AO220" s="4"/>
    </row>
    <row r="221" spans="1:41" ht="12.75">
      <c r="A221" t="s">
        <v>42</v>
      </c>
      <c r="B221" s="12" t="s">
        <v>51</v>
      </c>
      <c r="C221" s="9">
        <f t="shared" si="134"/>
        <v>62.47185628742514</v>
      </c>
      <c r="D221" t="s">
        <v>4</v>
      </c>
      <c r="E221" s="3" t="s">
        <v>16</v>
      </c>
      <c r="F221" s="7">
        <v>0</v>
      </c>
      <c r="G221" s="3" t="s">
        <v>15</v>
      </c>
      <c r="H221" s="3"/>
      <c r="I221" s="3"/>
      <c r="J221" s="3"/>
      <c r="K221" s="3"/>
      <c r="L221" s="3" t="s">
        <v>2</v>
      </c>
      <c r="M221" s="3"/>
      <c r="N221" s="10" t="str">
        <f aca="true" t="shared" si="169" ref="N221:N232">VLOOKUP(D221,Weapon_range,(VLOOKUP(E221,weapon_size_col,2,FALSE)),FALSE)</f>
        <v>1/3</v>
      </c>
      <c r="O221" s="10">
        <v>3</v>
      </c>
      <c r="P221" s="10">
        <v>4</v>
      </c>
      <c r="Q221" s="10">
        <v>-5</v>
      </c>
      <c r="R221" s="10">
        <v>-16</v>
      </c>
      <c r="S221" s="9">
        <f aca="true" t="shared" si="170" ref="S221:S228">VLOOKUP($D221,Weapon_mode,2,FALSE)+VLOOKUP($E221,Weapon_size,2,FALSE)</f>
        <v>1</v>
      </c>
      <c r="T221" s="9">
        <f aca="true" t="shared" si="171" ref="T221:T228">VLOOKUP($D221,Weapon_mode,3,FALSE)++VLOOKUP($E221,Weapon_size,3,FALSE)</f>
        <v>1</v>
      </c>
      <c r="U221" s="9">
        <f aca="true" t="shared" si="172" ref="U221:U228">VLOOKUP($D221,Weapon_mode,4,FALSE)+VLOOKUP($E221,Weapon_size,4,FALSE)</f>
        <v>0</v>
      </c>
      <c r="V221" s="9">
        <f t="shared" si="168"/>
        <v>-4</v>
      </c>
      <c r="W221" s="7">
        <v>120</v>
      </c>
      <c r="X221" s="4" t="s">
        <v>2</v>
      </c>
      <c r="Y221" s="8" t="s">
        <v>1</v>
      </c>
      <c r="Z221" s="3" t="str">
        <f aca="true" t="shared" si="173" ref="Z221:Z228">Y221</f>
        <v>d 5 x 18</v>
      </c>
      <c r="AB221" s="5">
        <v>72</v>
      </c>
      <c r="AC221" s="7">
        <f>AB221-16</f>
        <v>56</v>
      </c>
      <c r="AD221" s="6">
        <f aca="true" t="shared" si="174" ref="AD221:AD228">VLOOKUP(G221,RoF,2,FALSE)</f>
        <v>1.67</v>
      </c>
      <c r="AE221" s="5">
        <v>5</v>
      </c>
      <c r="AF221" s="4">
        <f aca="true" t="shared" si="175" ref="AF221:AF228">AB221/(AD221*AE221)</f>
        <v>8.622754491017965</v>
      </c>
      <c r="AG221" s="4">
        <f aca="true" t="shared" si="176" ref="AG221:AG228">AC221/AD221*IF(H221="Y",raking,1)*IF(I221="Y",Pierce,1)*IF(J221="Y",Sustained,1)*IF(K221="Y",standard,1)*IF(L221="Y",Pulse,1)*IF(M221="Y",Flash,1)</f>
        <v>38.562874251497</v>
      </c>
      <c r="AH221" s="4">
        <f aca="true" t="shared" si="177" ref="AH221:AH228">VLOOKUP(S221,FireControl,2)</f>
        <v>1.07</v>
      </c>
      <c r="AI221" s="4">
        <f aca="true" t="shared" si="178" ref="AI221:AI232">VLOOKUP(N221,Range,2,FALSE)</f>
        <v>1.5</v>
      </c>
      <c r="AJ221" s="4">
        <f aca="true" t="shared" si="179" ref="AJ221:AJ228">VLOOKUP(W221,Arc,2,FALSE)</f>
        <v>1</v>
      </c>
      <c r="AK221" s="4">
        <f aca="true" t="shared" si="180" ref="AK221:AK228">VLOOKUP(X221,Interceptable,2,FALSE)</f>
        <v>0.9</v>
      </c>
      <c r="AL221" s="4">
        <f aca="true" t="shared" si="181" ref="AL221:AL228">VLOOKUP(F221,Interceptability,2,FALSE)</f>
        <v>0</v>
      </c>
      <c r="AM221" s="5">
        <v>1</v>
      </c>
      <c r="AO221" s="4">
        <f aca="true" t="shared" si="182" ref="AO221:AO228">MAX(AG221*AH221*AI221*AJ221*AK221*AM221,AL221)+MIN(AG221*AH221*AI221*AJ221*AK221,AL221)/2</f>
        <v>55.70407185628742</v>
      </c>
    </row>
    <row r="222" spans="1:41" ht="12.75">
      <c r="A222" t="s">
        <v>42</v>
      </c>
      <c r="B222" s="12" t="s">
        <v>41</v>
      </c>
      <c r="C222" s="9">
        <f t="shared" si="134"/>
        <v>59.34826347305389</v>
      </c>
      <c r="D222" t="s">
        <v>4</v>
      </c>
      <c r="E222" s="3" t="s">
        <v>16</v>
      </c>
      <c r="F222" s="7">
        <v>0</v>
      </c>
      <c r="G222" s="3" t="s">
        <v>15</v>
      </c>
      <c r="H222" s="3"/>
      <c r="I222" s="3"/>
      <c r="J222" s="3"/>
      <c r="K222" s="3"/>
      <c r="L222" s="3" t="s">
        <v>2</v>
      </c>
      <c r="M222" s="3"/>
      <c r="N222" s="10" t="str">
        <f>VLOOKUP(D222,Weapon_range,(VLOOKUP(E222,weapon_size_col,2,FALSE)),FALSE)</f>
        <v>1/3</v>
      </c>
      <c r="O222" s="10">
        <v>3</v>
      </c>
      <c r="P222" s="10">
        <v>4</v>
      </c>
      <c r="Q222" s="10">
        <v>-5</v>
      </c>
      <c r="R222" s="10">
        <v>-16</v>
      </c>
      <c r="S222" s="9">
        <f>VLOOKUP($D222,Weapon_mode,2,FALSE)+VLOOKUP($E222,Weapon_size,2,FALSE)</f>
        <v>1</v>
      </c>
      <c r="T222" s="9">
        <f>VLOOKUP($D222,Weapon_mode,3,FALSE)++VLOOKUP($E222,Weapon_size,3,FALSE)</f>
        <v>1</v>
      </c>
      <c r="U222" s="9">
        <f>VLOOKUP($D222,Weapon_mode,4,FALSE)+VLOOKUP($E222,Weapon_size,4,FALSE)</f>
        <v>0</v>
      </c>
      <c r="V222" s="9">
        <f t="shared" si="168"/>
        <v>-4</v>
      </c>
      <c r="W222" s="7">
        <v>90</v>
      </c>
      <c r="X222" s="4" t="s">
        <v>2</v>
      </c>
      <c r="Y222" s="8" t="s">
        <v>1</v>
      </c>
      <c r="Z222" s="3" t="str">
        <f>Y222</f>
        <v>d 5 x 18</v>
      </c>
      <c r="AB222" s="5">
        <v>72</v>
      </c>
      <c r="AC222" s="7">
        <f>AB222-16</f>
        <v>56</v>
      </c>
      <c r="AD222" s="6">
        <f>VLOOKUP(G222,RoF,2,FALSE)</f>
        <v>1.67</v>
      </c>
      <c r="AE222" s="5">
        <v>5</v>
      </c>
      <c r="AF222" s="4">
        <f>AB222/(AD222*AE222)</f>
        <v>8.622754491017965</v>
      </c>
      <c r="AG222" s="4">
        <f>AC222/AD222*IF(H222="Y",raking,1)*IF(I222="Y",Pierce,1)*IF(J222="Y",Sustained,1)*IF(K222="Y",standard,1)*IF(L222="Y",Pulse,1)*IF(M222="Y",Flash,1)</f>
        <v>38.562874251497</v>
      </c>
      <c r="AH222" s="4">
        <f>VLOOKUP(S222,FireControl,2)</f>
        <v>1.07</v>
      </c>
      <c r="AI222" s="4">
        <f>VLOOKUP(N222,Range,2,FALSE)</f>
        <v>1.5</v>
      </c>
      <c r="AJ222" s="4">
        <f>VLOOKUP(W222,Arc,2,FALSE)</f>
        <v>0.95</v>
      </c>
      <c r="AK222" s="4">
        <f>VLOOKUP(X222,Interceptable,2,FALSE)</f>
        <v>0.9</v>
      </c>
      <c r="AL222" s="4">
        <f>VLOOKUP(F222,Interceptability,2,FALSE)</f>
        <v>0</v>
      </c>
      <c r="AM222" s="5">
        <v>1</v>
      </c>
      <c r="AO222" s="4">
        <f t="shared" si="182"/>
        <v>52.918868263473044</v>
      </c>
    </row>
    <row r="223" spans="1:41" ht="12.75">
      <c r="A223" t="s">
        <v>50</v>
      </c>
      <c r="B223" s="12" t="s">
        <v>49</v>
      </c>
      <c r="C223" s="9">
        <f t="shared" si="134"/>
        <v>26.6409</v>
      </c>
      <c r="D223" t="s">
        <v>4</v>
      </c>
      <c r="E223" s="3" t="s">
        <v>8</v>
      </c>
      <c r="F223" s="7">
        <v>0</v>
      </c>
      <c r="G223" s="3" t="s">
        <v>48</v>
      </c>
      <c r="H223" s="3"/>
      <c r="I223" s="3"/>
      <c r="J223" s="3"/>
      <c r="K223" s="3"/>
      <c r="L223" s="3" t="s">
        <v>2</v>
      </c>
      <c r="M223" s="3"/>
      <c r="N223" s="10" t="str">
        <f t="shared" si="169"/>
        <v>2/3</v>
      </c>
      <c r="O223" s="10">
        <v>7</v>
      </c>
      <c r="P223" s="10">
        <v>-3</v>
      </c>
      <c r="Q223" s="10">
        <v>-18</v>
      </c>
      <c r="R223" s="10">
        <v>-41</v>
      </c>
      <c r="S223" s="9">
        <f t="shared" si="170"/>
        <v>0</v>
      </c>
      <c r="T223" s="9">
        <f t="shared" si="171"/>
        <v>2</v>
      </c>
      <c r="U223" s="9">
        <f t="shared" si="172"/>
        <v>3</v>
      </c>
      <c r="V223" s="9">
        <f t="shared" si="168"/>
        <v>-14</v>
      </c>
      <c r="W223" s="7">
        <v>180</v>
      </c>
      <c r="X223" s="4" t="s">
        <v>2</v>
      </c>
      <c r="Y223" s="8" t="s">
        <v>30</v>
      </c>
      <c r="Z223" s="3" t="str">
        <f t="shared" si="173"/>
        <v>2d10+2</v>
      </c>
      <c r="AB223" s="5">
        <v>13</v>
      </c>
      <c r="AC223" s="7">
        <f>AB223-4</f>
        <v>9</v>
      </c>
      <c r="AD223" s="6">
        <f t="shared" si="174"/>
        <v>0.5</v>
      </c>
      <c r="AE223" s="5">
        <v>4</v>
      </c>
      <c r="AF223" s="4">
        <f t="shared" si="175"/>
        <v>6.5</v>
      </c>
      <c r="AG223" s="4">
        <f t="shared" si="176"/>
        <v>20.7</v>
      </c>
      <c r="AH223" s="4">
        <f t="shared" si="177"/>
        <v>1</v>
      </c>
      <c r="AI223" s="4">
        <f t="shared" si="178"/>
        <v>1.25</v>
      </c>
      <c r="AJ223" s="4">
        <f t="shared" si="179"/>
        <v>1.1</v>
      </c>
      <c r="AK223" s="4">
        <f t="shared" si="180"/>
        <v>0.9</v>
      </c>
      <c r="AL223" s="4">
        <f t="shared" si="181"/>
        <v>0</v>
      </c>
      <c r="AM223" s="5">
        <v>1</v>
      </c>
      <c r="AO223" s="4">
        <f t="shared" si="182"/>
        <v>25.61625</v>
      </c>
    </row>
    <row r="224" spans="1:41" ht="12.75">
      <c r="A224" t="s">
        <v>47</v>
      </c>
      <c r="B224" s="12" t="s">
        <v>46</v>
      </c>
      <c r="C224" s="9">
        <f t="shared" si="134"/>
        <v>7.904191616766468</v>
      </c>
      <c r="D224" s="17" t="s">
        <v>45</v>
      </c>
      <c r="E224" s="3" t="s">
        <v>8</v>
      </c>
      <c r="F224" s="7">
        <v>0</v>
      </c>
      <c r="G224" s="3" t="s">
        <v>15</v>
      </c>
      <c r="H224" s="3"/>
      <c r="I224" s="3"/>
      <c r="J224" s="3"/>
      <c r="K224" s="3" t="s">
        <v>2</v>
      </c>
      <c r="L224" s="3"/>
      <c r="M224" s="3"/>
      <c r="N224" s="10">
        <v>30</v>
      </c>
      <c r="O224" s="10"/>
      <c r="P224" s="10"/>
      <c r="Q224" s="10"/>
      <c r="R224" s="10"/>
      <c r="S224" s="9">
        <f t="shared" si="170"/>
        <v>0</v>
      </c>
      <c r="T224" s="9">
        <f t="shared" si="171"/>
        <v>1</v>
      </c>
      <c r="U224" s="9">
        <f t="shared" si="172"/>
        <v>2</v>
      </c>
      <c r="V224" s="9">
        <f t="shared" si="168"/>
        <v>0</v>
      </c>
      <c r="W224" s="7">
        <v>120</v>
      </c>
      <c r="X224" s="4" t="s">
        <v>21</v>
      </c>
      <c r="Y224" s="8" t="s">
        <v>43</v>
      </c>
      <c r="Z224" s="3" t="str">
        <f t="shared" si="173"/>
        <v>special</v>
      </c>
      <c r="AB224" s="5">
        <v>10</v>
      </c>
      <c r="AC224" s="7">
        <v>6</v>
      </c>
      <c r="AD224" s="6">
        <f t="shared" si="174"/>
        <v>1.67</v>
      </c>
      <c r="AE224" s="5">
        <v>2</v>
      </c>
      <c r="AF224" s="4">
        <f t="shared" si="175"/>
        <v>2.9940119760479043</v>
      </c>
      <c r="AG224" s="4">
        <f t="shared" si="176"/>
        <v>3.5928143712574854</v>
      </c>
      <c r="AH224" s="4">
        <f t="shared" si="177"/>
        <v>1</v>
      </c>
      <c r="AI224" s="4">
        <f t="shared" si="178"/>
        <v>1.9</v>
      </c>
      <c r="AJ224" s="4">
        <f t="shared" si="179"/>
        <v>1</v>
      </c>
      <c r="AK224" s="4">
        <f t="shared" si="180"/>
        <v>1.1</v>
      </c>
      <c r="AL224" s="4">
        <f t="shared" si="181"/>
        <v>0</v>
      </c>
      <c r="AM224" s="5">
        <v>1</v>
      </c>
      <c r="AO224" s="4">
        <f t="shared" si="182"/>
        <v>7.5089820359281445</v>
      </c>
    </row>
    <row r="225" spans="1:41" ht="12.75">
      <c r="A225" t="s">
        <v>36</v>
      </c>
      <c r="B225" s="12" t="s">
        <v>40</v>
      </c>
      <c r="C225" s="9">
        <f t="shared" si="134"/>
        <v>132.44000000000003</v>
      </c>
      <c r="D225" s="17" t="s">
        <v>22</v>
      </c>
      <c r="E225" s="3" t="s">
        <v>16</v>
      </c>
      <c r="F225" s="7">
        <v>0</v>
      </c>
      <c r="G225" s="3" t="s">
        <v>3</v>
      </c>
      <c r="H225" s="3"/>
      <c r="I225" s="3"/>
      <c r="J225" s="3"/>
      <c r="K225" s="3" t="s">
        <v>2</v>
      </c>
      <c r="L225" s="3"/>
      <c r="M225" s="3"/>
      <c r="N225" s="10" t="str">
        <f t="shared" si="169"/>
        <v>1/4</v>
      </c>
      <c r="O225" s="10">
        <v>0</v>
      </c>
      <c r="P225" s="10">
        <v>8</v>
      </c>
      <c r="Q225" s="10">
        <v>1</v>
      </c>
      <c r="R225" s="10">
        <v>-5</v>
      </c>
      <c r="S225" s="9">
        <f t="shared" si="170"/>
        <v>1</v>
      </c>
      <c r="T225" s="9">
        <f t="shared" si="171"/>
        <v>2</v>
      </c>
      <c r="U225" s="9">
        <f t="shared" si="172"/>
        <v>2</v>
      </c>
      <c r="V225" s="9">
        <f t="shared" si="168"/>
        <v>3</v>
      </c>
      <c r="W225" s="7">
        <v>120</v>
      </c>
      <c r="X225" s="4" t="s">
        <v>21</v>
      </c>
      <c r="Y225" s="8" t="s">
        <v>39</v>
      </c>
      <c r="Z225" s="3" t="str">
        <f t="shared" si="173"/>
        <v>8d10+12</v>
      </c>
      <c r="AB225" s="5">
        <v>56</v>
      </c>
      <c r="AC225" s="7">
        <f>AB225</f>
        <v>56</v>
      </c>
      <c r="AD225" s="6">
        <f t="shared" si="174"/>
        <v>1</v>
      </c>
      <c r="AE225" s="5">
        <v>2</v>
      </c>
      <c r="AF225" s="4">
        <f t="shared" si="175"/>
        <v>28</v>
      </c>
      <c r="AG225" s="4">
        <f t="shared" si="176"/>
        <v>56</v>
      </c>
      <c r="AH225" s="4">
        <f t="shared" si="177"/>
        <v>1.07</v>
      </c>
      <c r="AI225" s="4">
        <f t="shared" si="178"/>
        <v>1.55</v>
      </c>
      <c r="AJ225" s="4">
        <f t="shared" si="179"/>
        <v>1</v>
      </c>
      <c r="AK225" s="4">
        <f t="shared" si="180"/>
        <v>1.1</v>
      </c>
      <c r="AL225" s="4">
        <f t="shared" si="181"/>
        <v>0</v>
      </c>
      <c r="AM225" s="5">
        <v>1</v>
      </c>
      <c r="AO225" s="4">
        <f t="shared" si="182"/>
        <v>102.16360000000002</v>
      </c>
    </row>
    <row r="226" spans="1:41" ht="12.75">
      <c r="A226" t="s">
        <v>36</v>
      </c>
      <c r="B226" s="12" t="s">
        <v>38</v>
      </c>
      <c r="C226" s="9">
        <f t="shared" si="134"/>
        <v>152.0357142857143</v>
      </c>
      <c r="D226" s="17" t="s">
        <v>22</v>
      </c>
      <c r="E226" s="3" t="s">
        <v>16</v>
      </c>
      <c r="F226" s="7">
        <v>0</v>
      </c>
      <c r="G226" s="3" t="s">
        <v>11</v>
      </c>
      <c r="H226" s="3"/>
      <c r="I226" s="3"/>
      <c r="J226" s="3"/>
      <c r="K226" s="3" t="s">
        <v>2</v>
      </c>
      <c r="L226" s="3"/>
      <c r="M226" s="3"/>
      <c r="N226" s="10" t="str">
        <f t="shared" si="169"/>
        <v>1/4</v>
      </c>
      <c r="O226" s="10">
        <v>0</v>
      </c>
      <c r="P226" s="10">
        <v>8</v>
      </c>
      <c r="Q226" s="10">
        <v>1</v>
      </c>
      <c r="R226" s="10">
        <v>-5</v>
      </c>
      <c r="S226" s="9">
        <f t="shared" si="170"/>
        <v>1</v>
      </c>
      <c r="T226" s="9">
        <f t="shared" si="171"/>
        <v>2</v>
      </c>
      <c r="U226" s="9">
        <f t="shared" si="172"/>
        <v>2</v>
      </c>
      <c r="V226" s="9">
        <f t="shared" si="168"/>
        <v>3</v>
      </c>
      <c r="W226" s="7">
        <v>120</v>
      </c>
      <c r="X226" s="4" t="s">
        <v>21</v>
      </c>
      <c r="Y226" s="8" t="s">
        <v>37</v>
      </c>
      <c r="Z226" s="3" t="str">
        <f t="shared" si="173"/>
        <v>12d10+24</v>
      </c>
      <c r="AB226" s="5">
        <v>90</v>
      </c>
      <c r="AC226" s="7">
        <f>AB226</f>
        <v>90</v>
      </c>
      <c r="AD226" s="6">
        <f t="shared" si="174"/>
        <v>1.4</v>
      </c>
      <c r="AE226" s="5">
        <v>2</v>
      </c>
      <c r="AF226" s="4">
        <f t="shared" si="175"/>
        <v>32.142857142857146</v>
      </c>
      <c r="AG226" s="4">
        <f t="shared" si="176"/>
        <v>64.28571428571429</v>
      </c>
      <c r="AH226" s="4">
        <f t="shared" si="177"/>
        <v>1.07</v>
      </c>
      <c r="AI226" s="4">
        <f t="shared" si="178"/>
        <v>1.55</v>
      </c>
      <c r="AJ226" s="4">
        <f t="shared" si="179"/>
        <v>1</v>
      </c>
      <c r="AK226" s="4">
        <f t="shared" si="180"/>
        <v>1.1</v>
      </c>
      <c r="AL226" s="4">
        <f t="shared" si="181"/>
        <v>0</v>
      </c>
      <c r="AM226" s="5">
        <v>1</v>
      </c>
      <c r="AO226" s="4">
        <f t="shared" si="182"/>
        <v>117.27964285714289</v>
      </c>
    </row>
    <row r="227" spans="1:41" ht="12.75">
      <c r="A227" t="s">
        <v>36</v>
      </c>
      <c r="B227" s="12" t="s">
        <v>35</v>
      </c>
      <c r="C227" s="9">
        <f t="shared" si="134"/>
        <v>175.6047904191617</v>
      </c>
      <c r="D227" s="17" t="s">
        <v>22</v>
      </c>
      <c r="E227" s="3" t="s">
        <v>16</v>
      </c>
      <c r="F227" s="7">
        <v>0</v>
      </c>
      <c r="G227" s="3" t="s">
        <v>15</v>
      </c>
      <c r="H227" s="3"/>
      <c r="I227" s="3"/>
      <c r="J227" s="3"/>
      <c r="K227" s="3" t="s">
        <v>2</v>
      </c>
      <c r="L227" s="3"/>
      <c r="M227" s="3"/>
      <c r="N227" s="10" t="str">
        <f t="shared" si="169"/>
        <v>1/4</v>
      </c>
      <c r="O227" s="10">
        <v>0</v>
      </c>
      <c r="P227" s="10">
        <v>8</v>
      </c>
      <c r="Q227" s="10">
        <v>1</v>
      </c>
      <c r="R227" s="10">
        <v>-5</v>
      </c>
      <c r="S227" s="9">
        <f t="shared" si="170"/>
        <v>1</v>
      </c>
      <c r="T227" s="9">
        <f t="shared" si="171"/>
        <v>2</v>
      </c>
      <c r="U227" s="9">
        <f t="shared" si="172"/>
        <v>2</v>
      </c>
      <c r="V227" s="9">
        <f t="shared" si="168"/>
        <v>3</v>
      </c>
      <c r="W227" s="7">
        <v>120</v>
      </c>
      <c r="X227" s="4" t="s">
        <v>21</v>
      </c>
      <c r="Y227" s="8" t="s">
        <v>34</v>
      </c>
      <c r="Z227" s="3" t="str">
        <f t="shared" si="173"/>
        <v>16d10+36</v>
      </c>
      <c r="AB227" s="5">
        <v>124</v>
      </c>
      <c r="AC227" s="7">
        <f>AB227</f>
        <v>124</v>
      </c>
      <c r="AD227" s="6">
        <f t="shared" si="174"/>
        <v>1.67</v>
      </c>
      <c r="AE227" s="5">
        <v>2</v>
      </c>
      <c r="AF227" s="4">
        <f t="shared" si="175"/>
        <v>37.125748502994014</v>
      </c>
      <c r="AG227" s="4">
        <f t="shared" si="176"/>
        <v>74.25149700598803</v>
      </c>
      <c r="AH227" s="4">
        <f t="shared" si="177"/>
        <v>1.07</v>
      </c>
      <c r="AI227" s="4">
        <f t="shared" si="178"/>
        <v>1.55</v>
      </c>
      <c r="AJ227" s="4">
        <f t="shared" si="179"/>
        <v>1</v>
      </c>
      <c r="AK227" s="4">
        <f t="shared" si="180"/>
        <v>1.1</v>
      </c>
      <c r="AL227" s="4">
        <f t="shared" si="181"/>
        <v>0</v>
      </c>
      <c r="AM227" s="5">
        <v>1</v>
      </c>
      <c r="AO227" s="4">
        <f t="shared" si="182"/>
        <v>135.4607185628743</v>
      </c>
    </row>
    <row r="228" spans="1:41" ht="12.75">
      <c r="A228" t="s">
        <v>33</v>
      </c>
      <c r="B228" s="12" t="s">
        <v>32</v>
      </c>
      <c r="C228" s="9">
        <f t="shared" si="134"/>
        <v>21.235500000000005</v>
      </c>
      <c r="D228" s="17" t="s">
        <v>31</v>
      </c>
      <c r="E228" s="3" t="s">
        <v>8</v>
      </c>
      <c r="F228" s="7">
        <v>0</v>
      </c>
      <c r="G228" s="11" t="s">
        <v>3</v>
      </c>
      <c r="H228" s="11"/>
      <c r="I228" s="11"/>
      <c r="J228" s="11"/>
      <c r="K228" s="11"/>
      <c r="L228" s="11"/>
      <c r="M228" s="11"/>
      <c r="N228" s="10" t="str">
        <f t="shared" si="169"/>
        <v>3/2</v>
      </c>
      <c r="O228" s="10">
        <v>8</v>
      </c>
      <c r="P228" s="10">
        <v>-2</v>
      </c>
      <c r="Q228" s="10">
        <v>-17</v>
      </c>
      <c r="R228" s="10">
        <v>-40</v>
      </c>
      <c r="S228" s="9">
        <f t="shared" si="170"/>
        <v>-1</v>
      </c>
      <c r="T228" s="9">
        <f t="shared" si="171"/>
        <v>0</v>
      </c>
      <c r="U228" s="9">
        <f t="shared" si="172"/>
        <v>0</v>
      </c>
      <c r="V228" s="9">
        <f t="shared" si="168"/>
        <v>-13</v>
      </c>
      <c r="W228" s="7">
        <v>180</v>
      </c>
      <c r="X228" s="4" t="s">
        <v>21</v>
      </c>
      <c r="Y228" s="14" t="s">
        <v>30</v>
      </c>
      <c r="Z228" s="3" t="str">
        <f t="shared" si="173"/>
        <v>2d10+2</v>
      </c>
      <c r="AB228" s="5">
        <v>13</v>
      </c>
      <c r="AC228" s="7">
        <f>AB228</f>
        <v>13</v>
      </c>
      <c r="AD228" s="6">
        <f t="shared" si="174"/>
        <v>1</v>
      </c>
      <c r="AE228" s="5">
        <v>3</v>
      </c>
      <c r="AF228" s="4">
        <f t="shared" si="175"/>
        <v>4.333333333333333</v>
      </c>
      <c r="AG228" s="4">
        <f t="shared" si="176"/>
        <v>13</v>
      </c>
      <c r="AH228" s="4">
        <f t="shared" si="177"/>
        <v>0.93</v>
      </c>
      <c r="AI228" s="4">
        <f t="shared" si="178"/>
        <v>0.8</v>
      </c>
      <c r="AJ228" s="4">
        <f t="shared" si="179"/>
        <v>1.1</v>
      </c>
      <c r="AK228" s="4">
        <f t="shared" si="180"/>
        <v>1.1</v>
      </c>
      <c r="AL228" s="4">
        <f t="shared" si="181"/>
        <v>0</v>
      </c>
      <c r="AM228" s="5">
        <v>1</v>
      </c>
      <c r="AO228" s="4">
        <f t="shared" si="182"/>
        <v>11.703120000000002</v>
      </c>
    </row>
    <row r="229" spans="2:41" ht="12.75">
      <c r="B229" s="12" t="s">
        <v>29</v>
      </c>
      <c r="C229" s="9">
        <f>MAX(C225:C227)</f>
        <v>175.6047904191617</v>
      </c>
      <c r="E229" s="3"/>
      <c r="F229" s="7"/>
      <c r="G229" s="5"/>
      <c r="H229" s="5"/>
      <c r="I229" s="5"/>
      <c r="J229" s="5"/>
      <c r="K229" s="5"/>
      <c r="L229" s="5"/>
      <c r="M229" s="5"/>
      <c r="N229" s="10" t="e">
        <f t="shared" si="169"/>
        <v>#N/A</v>
      </c>
      <c r="O229" s="10"/>
      <c r="P229" s="10"/>
      <c r="Q229" s="10"/>
      <c r="R229" s="10"/>
      <c r="S229" s="9"/>
      <c r="T229" s="9"/>
      <c r="U229" s="9"/>
      <c r="V229" s="9">
        <f t="shared" si="168"/>
        <v>0</v>
      </c>
      <c r="W229" s="7"/>
      <c r="X229" s="4"/>
      <c r="Y229" s="14"/>
      <c r="Z229" s="3"/>
      <c r="AB229" s="5"/>
      <c r="AC229" s="7"/>
      <c r="AD229" s="6"/>
      <c r="AE229" s="5"/>
      <c r="AF229" s="4"/>
      <c r="AG229" s="4"/>
      <c r="AH229" s="4"/>
      <c r="AI229" s="4" t="e">
        <f t="shared" si="178"/>
        <v>#N/A</v>
      </c>
      <c r="AJ229" s="4"/>
      <c r="AK229" s="4"/>
      <c r="AL229" s="4"/>
      <c r="AM229" s="5">
        <v>1</v>
      </c>
      <c r="AO229" s="4"/>
    </row>
    <row r="230" spans="1:41" ht="12.75">
      <c r="A230" t="s">
        <v>28</v>
      </c>
      <c r="B230" s="12" t="s">
        <v>27</v>
      </c>
      <c r="C230" s="9">
        <f t="shared" si="134"/>
        <v>54.34</v>
      </c>
      <c r="D230" t="s">
        <v>22</v>
      </c>
      <c r="E230" s="3" t="s">
        <v>16</v>
      </c>
      <c r="F230" s="7">
        <v>0</v>
      </c>
      <c r="G230" s="16" t="s">
        <v>3</v>
      </c>
      <c r="H230" s="16"/>
      <c r="I230" s="16"/>
      <c r="J230" s="16"/>
      <c r="K230" s="16"/>
      <c r="L230" s="16"/>
      <c r="M230" s="16"/>
      <c r="N230" s="10" t="str">
        <f t="shared" si="169"/>
        <v>1/4</v>
      </c>
      <c r="O230" s="10"/>
      <c r="P230" s="10"/>
      <c r="Q230" s="10"/>
      <c r="R230" s="10"/>
      <c r="S230" s="9">
        <f>VLOOKUP($D230,Weapon_mode,2,FALSE)+VLOOKUP($E230,Weapon_size,2,FALSE)</f>
        <v>1</v>
      </c>
      <c r="T230" s="9">
        <f>VLOOKUP($D230,Weapon_mode,3,FALSE)++VLOOKUP($E230,Weapon_size,3,FALSE)</f>
        <v>2</v>
      </c>
      <c r="U230" s="9">
        <f>VLOOKUP($D230,Weapon_mode,4,FALSE)+VLOOKUP($E230,Weapon_size,4,FALSE)</f>
        <v>2</v>
      </c>
      <c r="V230" s="9">
        <f t="shared" si="168"/>
        <v>0</v>
      </c>
      <c r="W230" s="7">
        <v>90</v>
      </c>
      <c r="X230" s="4" t="s">
        <v>21</v>
      </c>
      <c r="Y230" s="14" t="s">
        <v>26</v>
      </c>
      <c r="Z230" s="3" t="str">
        <f>Y230</f>
        <v>4d10+4</v>
      </c>
      <c r="AB230" s="5">
        <v>26</v>
      </c>
      <c r="AC230" s="7">
        <f>AB230</f>
        <v>26</v>
      </c>
      <c r="AD230" s="6">
        <f>VLOOKUP(G230,RoF,2,FALSE)</f>
        <v>1</v>
      </c>
      <c r="AE230" s="5">
        <v>10</v>
      </c>
      <c r="AF230" s="4">
        <f>AB230/(AD230*AE230)</f>
        <v>2.6</v>
      </c>
      <c r="AG230" s="4">
        <f>AC230/AD230*IF(H230="Y",raking,1)*IF(I230="Y",Pierce,1)*IF(J230="Y",Sustained,1)*IF(K230="Y",standard,1)*IF(L230="Y",Pulse,1)*IF(M230="Y",Flash,1)</f>
        <v>26</v>
      </c>
      <c r="AH230" s="4">
        <f>VLOOKUP(S230,FireControl,2)</f>
        <v>1.07</v>
      </c>
      <c r="AI230" s="4">
        <f t="shared" si="178"/>
        <v>1.55</v>
      </c>
      <c r="AJ230" s="4">
        <f>VLOOKUP(W230,Arc,2,FALSE)</f>
        <v>0.95</v>
      </c>
      <c r="AK230" s="4">
        <f>VLOOKUP(X230,Interceptable,2,FALSE)</f>
        <v>1.1</v>
      </c>
      <c r="AL230" s="4">
        <f>VLOOKUP(F230,Interceptability,2,FALSE)</f>
        <v>0</v>
      </c>
      <c r="AM230" s="5">
        <v>1</v>
      </c>
      <c r="AO230" s="4">
        <f>MAX(AG230*AH230*AI230*AJ230*AK230*AM230,AL230)+MIN(AG230*AH230*AI230*AJ230*AK230,AL230)/2</f>
        <v>45.061445000000006</v>
      </c>
    </row>
    <row r="231" spans="2:41" ht="12.75">
      <c r="B231" s="12" t="s">
        <v>25</v>
      </c>
      <c r="C231" s="9">
        <f t="shared" si="134"/>
        <v>58.221428571428575</v>
      </c>
      <c r="D231" t="s">
        <v>22</v>
      </c>
      <c r="E231" s="3" t="s">
        <v>16</v>
      </c>
      <c r="F231" s="7">
        <v>0</v>
      </c>
      <c r="G231" s="13" t="s">
        <v>11</v>
      </c>
      <c r="H231" s="13"/>
      <c r="I231" s="13"/>
      <c r="J231" s="13"/>
      <c r="K231" s="13"/>
      <c r="L231" s="13"/>
      <c r="M231" s="13"/>
      <c r="N231" s="10" t="str">
        <f t="shared" si="169"/>
        <v>1/4</v>
      </c>
      <c r="O231" s="10"/>
      <c r="P231" s="10"/>
      <c r="Q231" s="10"/>
      <c r="R231" s="10"/>
      <c r="S231" s="9">
        <f>VLOOKUP($D231,Weapon_mode,2,FALSE)+VLOOKUP($E231,Weapon_size,2,FALSE)</f>
        <v>1</v>
      </c>
      <c r="T231" s="9">
        <f>VLOOKUP($D231,Weapon_mode,3,FALSE)++VLOOKUP($E231,Weapon_size,3,FALSE)</f>
        <v>2</v>
      </c>
      <c r="U231" s="9">
        <f>VLOOKUP($D231,Weapon_mode,4,FALSE)+VLOOKUP($E231,Weapon_size,4,FALSE)</f>
        <v>2</v>
      </c>
      <c r="V231" s="9">
        <f t="shared" si="168"/>
        <v>0</v>
      </c>
      <c r="W231" s="7">
        <v>90</v>
      </c>
      <c r="X231" s="4" t="s">
        <v>21</v>
      </c>
      <c r="Y231" s="14" t="s">
        <v>24</v>
      </c>
      <c r="Z231" s="3" t="str">
        <f>Y231</f>
        <v>6d10+6</v>
      </c>
      <c r="AB231" s="5">
        <v>39</v>
      </c>
      <c r="AC231" s="7">
        <f>AB231</f>
        <v>39</v>
      </c>
      <c r="AD231" s="6">
        <f>VLOOKUP(G231,RoF,2,FALSE)</f>
        <v>1.4</v>
      </c>
      <c r="AE231" s="5">
        <v>10</v>
      </c>
      <c r="AF231" s="4">
        <f>AB231/(AD231*AE231)</f>
        <v>2.7857142857142856</v>
      </c>
      <c r="AG231" s="4">
        <f>AC231/AD231*IF(H231="Y",raking,1)*IF(I231="Y",Pierce,1)*IF(J231="Y",Sustained,1)*IF(K231="Y",standard,1)*IF(L231="Y",Pulse,1)*IF(M231="Y",Flash,1)</f>
        <v>27.857142857142858</v>
      </c>
      <c r="AH231" s="4">
        <f>VLOOKUP(S231,FireControl,2)</f>
        <v>1.07</v>
      </c>
      <c r="AI231" s="4">
        <f t="shared" si="178"/>
        <v>1.55</v>
      </c>
      <c r="AJ231" s="4">
        <f>VLOOKUP(W231,Arc,2,FALSE)</f>
        <v>0.95</v>
      </c>
      <c r="AK231" s="4">
        <f>VLOOKUP(X231,Interceptable,2,FALSE)</f>
        <v>1.1</v>
      </c>
      <c r="AL231" s="4">
        <f>VLOOKUP(F231,Interceptability,2,FALSE)</f>
        <v>0</v>
      </c>
      <c r="AM231" s="5">
        <v>1</v>
      </c>
      <c r="AO231" s="4">
        <f>MAX(AG231*AH231*AI231*AJ231*AK231*AM231,AL231)+MIN(AG231*AH231*AI231*AJ231*AK231,AL231)/2</f>
        <v>48.28011964285715</v>
      </c>
    </row>
    <row r="232" spans="2:41" ht="12.75">
      <c r="B232" s="12" t="s">
        <v>23</v>
      </c>
      <c r="C232" s="9">
        <f t="shared" si="134"/>
        <v>65.07784431137725</v>
      </c>
      <c r="D232" t="s">
        <v>22</v>
      </c>
      <c r="E232" s="3" t="s">
        <v>16</v>
      </c>
      <c r="F232" s="7">
        <v>0</v>
      </c>
      <c r="G232" s="11" t="s">
        <v>15</v>
      </c>
      <c r="H232" s="11"/>
      <c r="I232" s="11"/>
      <c r="J232" s="11"/>
      <c r="K232" s="11"/>
      <c r="L232" s="11"/>
      <c r="M232" s="11"/>
      <c r="N232" s="10" t="str">
        <f t="shared" si="169"/>
        <v>1/4</v>
      </c>
      <c r="O232" s="10"/>
      <c r="P232" s="10"/>
      <c r="Q232" s="10"/>
      <c r="R232" s="10"/>
      <c r="S232" s="9">
        <f>VLOOKUP($D232,Weapon_mode,2,FALSE)+VLOOKUP($E232,Weapon_size,2,FALSE)</f>
        <v>1</v>
      </c>
      <c r="T232" s="9">
        <f>VLOOKUP($D232,Weapon_mode,3,FALSE)++VLOOKUP($E232,Weapon_size,3,FALSE)</f>
        <v>2</v>
      </c>
      <c r="U232" s="9">
        <f>VLOOKUP($D232,Weapon_mode,4,FALSE)+VLOOKUP($E232,Weapon_size,4,FALSE)</f>
        <v>2</v>
      </c>
      <c r="V232" s="9">
        <f t="shared" si="168"/>
        <v>0</v>
      </c>
      <c r="W232" s="7">
        <v>90</v>
      </c>
      <c r="X232" s="4" t="s">
        <v>21</v>
      </c>
      <c r="Y232" s="14" t="s">
        <v>20</v>
      </c>
      <c r="Z232" s="3" t="str">
        <f>Y232</f>
        <v>8d10+8</v>
      </c>
      <c r="AB232" s="5">
        <v>52</v>
      </c>
      <c r="AC232" s="7">
        <f>AB232</f>
        <v>52</v>
      </c>
      <c r="AD232" s="6">
        <f>VLOOKUP(G232,RoF,2,FALSE)</f>
        <v>1.67</v>
      </c>
      <c r="AE232" s="5">
        <v>10</v>
      </c>
      <c r="AF232" s="4">
        <f>AB232/(AD232*AE232)</f>
        <v>3.1137724550898205</v>
      </c>
      <c r="AG232" s="4">
        <f>AC232/AD232*IF(H232="Y",raking,1)*IF(I232="Y",Pierce,1)*IF(J232="Y",Sustained,1)*IF(K232="Y",standard,1)*IF(L232="Y",Pulse,1)*IF(M232="Y",Flash,1)</f>
        <v>31.137724550898206</v>
      </c>
      <c r="AH232" s="4">
        <f>VLOOKUP(S232,FireControl,2)</f>
        <v>1.07</v>
      </c>
      <c r="AI232" s="4">
        <f t="shared" si="178"/>
        <v>1.55</v>
      </c>
      <c r="AJ232" s="4">
        <f>VLOOKUP(W232,Arc,2,FALSE)</f>
        <v>0.95</v>
      </c>
      <c r="AK232" s="4">
        <f>VLOOKUP(X232,Interceptable,2,FALSE)</f>
        <v>1.1</v>
      </c>
      <c r="AL232" s="4">
        <f>VLOOKUP(F232,Interceptability,2,FALSE)</f>
        <v>0</v>
      </c>
      <c r="AM232" s="5">
        <v>1</v>
      </c>
      <c r="AO232" s="4">
        <f>MAX(AG232*AH232*AI232*AJ232*AK232*AM232,AL232)+MIN(AG232*AH232*AI232*AJ232*AK232,AL232)/2</f>
        <v>53.96580239520959</v>
      </c>
    </row>
    <row r="233" spans="2:41" ht="12.75">
      <c r="B233" s="12"/>
      <c r="C233" s="9">
        <f t="shared" si="134"/>
        <v>0</v>
      </c>
      <c r="E233" s="3"/>
      <c r="F233" s="7"/>
      <c r="G233" s="5"/>
      <c r="H233" s="5"/>
      <c r="I233" s="5"/>
      <c r="J233" s="5"/>
      <c r="K233" s="5"/>
      <c r="L233" s="5"/>
      <c r="M233" s="5"/>
      <c r="N233" s="10"/>
      <c r="O233" s="10"/>
      <c r="P233" s="10"/>
      <c r="Q233" s="10"/>
      <c r="R233" s="10"/>
      <c r="S233" s="9"/>
      <c r="T233" s="9"/>
      <c r="U233" s="9"/>
      <c r="V233" s="9">
        <f t="shared" si="168"/>
        <v>0</v>
      </c>
      <c r="W233" s="7"/>
      <c r="X233" s="4"/>
      <c r="Y233" s="14"/>
      <c r="Z233" s="5"/>
      <c r="AB233" s="5"/>
      <c r="AC233" s="7"/>
      <c r="AD233" s="6"/>
      <c r="AE233" s="5"/>
      <c r="AF233" s="4"/>
      <c r="AG233" s="4"/>
      <c r="AH233" s="4"/>
      <c r="AI233" s="4"/>
      <c r="AJ233" s="7"/>
      <c r="AK233" s="4"/>
      <c r="AL233" s="4"/>
      <c r="AO233" s="4"/>
    </row>
    <row r="234" spans="2:41" ht="12.75">
      <c r="B234" s="12"/>
      <c r="C234" s="9">
        <f t="shared" si="134"/>
        <v>0</v>
      </c>
      <c r="E234" s="3"/>
      <c r="F234" s="7"/>
      <c r="G234" s="5"/>
      <c r="H234" s="5"/>
      <c r="I234" s="5"/>
      <c r="J234" s="5"/>
      <c r="K234" s="5"/>
      <c r="L234" s="5"/>
      <c r="M234" s="5"/>
      <c r="N234" s="10"/>
      <c r="O234" s="10"/>
      <c r="P234" s="10"/>
      <c r="Q234" s="10"/>
      <c r="R234" s="10"/>
      <c r="S234" s="9"/>
      <c r="T234" s="9"/>
      <c r="U234" s="9"/>
      <c r="V234" s="9">
        <f t="shared" si="168"/>
        <v>0</v>
      </c>
      <c r="W234" s="7"/>
      <c r="X234" s="4"/>
      <c r="Y234" s="14"/>
      <c r="Z234" s="5"/>
      <c r="AB234" s="5"/>
      <c r="AC234" s="7"/>
      <c r="AD234" s="6"/>
      <c r="AE234" s="5"/>
      <c r="AF234" s="4"/>
      <c r="AG234" s="4"/>
      <c r="AH234" s="4"/>
      <c r="AI234" s="4"/>
      <c r="AJ234" s="7"/>
      <c r="AK234" s="4"/>
      <c r="AL234" s="4"/>
      <c r="AO234" s="4"/>
    </row>
    <row r="235" spans="1:41" ht="12.75">
      <c r="A235" s="15" t="s">
        <v>19</v>
      </c>
      <c r="B235" s="12"/>
      <c r="C235" s="9">
        <f t="shared" si="134"/>
        <v>0</v>
      </c>
      <c r="E235" s="3"/>
      <c r="F235" s="7"/>
      <c r="G235" s="5"/>
      <c r="H235" s="5"/>
      <c r="I235" s="5"/>
      <c r="J235" s="5"/>
      <c r="K235" s="5"/>
      <c r="L235" s="5"/>
      <c r="M235" s="5"/>
      <c r="N235" s="10"/>
      <c r="O235" s="10"/>
      <c r="P235" s="10"/>
      <c r="Q235" s="10"/>
      <c r="R235" s="10"/>
      <c r="S235" s="9"/>
      <c r="T235" s="9"/>
      <c r="U235" s="9"/>
      <c r="V235" s="9">
        <f t="shared" si="168"/>
        <v>0</v>
      </c>
      <c r="W235" s="7"/>
      <c r="X235" s="4"/>
      <c r="Y235" s="14"/>
      <c r="Z235" s="5"/>
      <c r="AB235" s="5"/>
      <c r="AC235" s="7"/>
      <c r="AD235" s="6"/>
      <c r="AE235" s="5"/>
      <c r="AF235" s="4"/>
      <c r="AG235" s="4"/>
      <c r="AH235" s="4"/>
      <c r="AI235" s="4"/>
      <c r="AJ235" s="7"/>
      <c r="AK235" s="4"/>
      <c r="AL235" s="4"/>
      <c r="AO235" s="4"/>
    </row>
    <row r="236" spans="1:41" ht="12.75">
      <c r="A236" s="2" t="s">
        <v>873</v>
      </c>
      <c r="B236" s="12" t="s">
        <v>875</v>
      </c>
      <c r="C236" s="9">
        <f t="shared" si="134"/>
        <v>62.59679999999999</v>
      </c>
      <c r="D236" t="s">
        <v>4</v>
      </c>
      <c r="E236" s="3" t="s">
        <v>213</v>
      </c>
      <c r="F236" s="7"/>
      <c r="G236" s="11" t="s">
        <v>212</v>
      </c>
      <c r="H236" s="5"/>
      <c r="I236" s="5"/>
      <c r="J236" s="5"/>
      <c r="K236" s="5"/>
      <c r="L236" s="5" t="s">
        <v>2</v>
      </c>
      <c r="M236" s="5"/>
      <c r="N236" s="10" t="str">
        <f>VLOOKUP(D236,Weapon_range,(VLOOKUP(E236,weapon_size_col,2,FALSE)),FALSE)</f>
        <v>1/4</v>
      </c>
      <c r="O236" s="10">
        <v>1</v>
      </c>
      <c r="P236" s="10">
        <v>7</v>
      </c>
      <c r="Q236" s="10">
        <v>-1</v>
      </c>
      <c r="R236" s="10">
        <v>-10</v>
      </c>
      <c r="S236" s="9">
        <f>VLOOKUP($D236,Weapon_mode,2,FALSE)+VLOOKUP($E236,Weapon_size,2,FALSE)</f>
        <v>1</v>
      </c>
      <c r="T236" s="9">
        <f>VLOOKUP($D236,Weapon_mode,3,FALSE)++VLOOKUP($E236,Weapon_size,3,FALSE)</f>
        <v>0</v>
      </c>
      <c r="U236" s="9">
        <f>VLOOKUP($D236,Weapon_mode,4,FALSE)+VLOOKUP($E236,Weapon_size,4,FALSE)</f>
        <v>0</v>
      </c>
      <c r="V236" s="9">
        <f t="shared" si="168"/>
        <v>0</v>
      </c>
      <c r="W236" s="7">
        <v>120</v>
      </c>
      <c r="X236" s="4" t="s">
        <v>2</v>
      </c>
      <c r="Y236" s="8"/>
      <c r="Z236" s="3" t="s">
        <v>887</v>
      </c>
      <c r="AB236" s="5">
        <v>75</v>
      </c>
      <c r="AC236" s="7">
        <f>AB236-12</f>
        <v>63</v>
      </c>
      <c r="AD236" s="6">
        <f>VLOOKUP(G236,RoF,2,FALSE)</f>
        <v>2.5</v>
      </c>
      <c r="AE236" s="5">
        <v>6</v>
      </c>
      <c r="AF236" s="4">
        <f>AB236/(AD236*AE236)</f>
        <v>5</v>
      </c>
      <c r="AG236" s="4">
        <f>AC236/AD236*IF(H236="Y",raking,1)*IF(I236="Y",Pierce,1)*IF(J236="Y",Sustained,1)*IF(K236="Y",standard,1)*IF(L236="Y",Pulse,1)*IF(M236="Y",Flash,1)</f>
        <v>28.979999999999997</v>
      </c>
      <c r="AH236" s="4">
        <f>VLOOKUP(S236,FireControl,2)</f>
        <v>1.07</v>
      </c>
      <c r="AI236" s="4">
        <f>VLOOKUP(N236,Range,2,FALSE)</f>
        <v>1.55</v>
      </c>
      <c r="AJ236" s="4">
        <f>VLOOKUP(W236,Arc,2,FALSE)</f>
        <v>1</v>
      </c>
      <c r="AK236" s="4">
        <f>VLOOKUP(X236,Interceptable,2,FALSE)</f>
        <v>0.9</v>
      </c>
      <c r="AL236" s="4">
        <f>VLOOKUP(F236,Interceptability,2,FALSE)</f>
        <v>0</v>
      </c>
      <c r="AM236" s="5">
        <v>1.2</v>
      </c>
      <c r="AN236" t="s">
        <v>893</v>
      </c>
      <c r="AO236" s="4">
        <f>MAX(AG236*AH236*AI236*AJ236*AK236*AM236,AL236)+MIN(AG236*AH236*AI236*AJ236*AK236,AL236)/2</f>
        <v>51.908396399999994</v>
      </c>
    </row>
    <row r="237" spans="1:41" ht="12.75">
      <c r="A237" t="s">
        <v>18</v>
      </c>
      <c r="B237" s="12" t="s">
        <v>17</v>
      </c>
      <c r="C237" s="9">
        <f t="shared" si="134"/>
        <v>44.68782934131737</v>
      </c>
      <c r="D237" t="s">
        <v>4</v>
      </c>
      <c r="E237" s="3" t="s">
        <v>16</v>
      </c>
      <c r="F237" s="7"/>
      <c r="G237" s="13" t="s">
        <v>15</v>
      </c>
      <c r="H237" s="5"/>
      <c r="I237" s="5"/>
      <c r="J237" s="5"/>
      <c r="K237" s="5"/>
      <c r="L237" s="5" t="s">
        <v>2</v>
      </c>
      <c r="M237" s="5"/>
      <c r="N237" s="10" t="str">
        <f>N236</f>
        <v>1/4</v>
      </c>
      <c r="O237" s="10">
        <v>4</v>
      </c>
      <c r="P237" s="10">
        <v>5</v>
      </c>
      <c r="Q237" s="10">
        <v>-4</v>
      </c>
      <c r="R237" s="10">
        <v>-15</v>
      </c>
      <c r="S237" s="9">
        <f>VLOOKUP($D237,Weapon_mode,2,FALSE)+VLOOKUP($E237,Weapon_size,2,FALSE)</f>
        <v>1</v>
      </c>
      <c r="T237" s="9">
        <f>VLOOKUP($D237,Weapon_mode,3,FALSE)++VLOOKUP($E237,Weapon_size,3,FALSE)</f>
        <v>1</v>
      </c>
      <c r="U237" s="9">
        <f>VLOOKUP($D237,Weapon_mode,4,FALSE)+VLOOKUP($E237,Weapon_size,4,FALSE)</f>
        <v>0</v>
      </c>
      <c r="V237" s="9">
        <f t="shared" si="168"/>
        <v>-2</v>
      </c>
      <c r="W237" s="7">
        <v>120</v>
      </c>
      <c r="X237" s="4" t="s">
        <v>2</v>
      </c>
      <c r="Y237" s="8"/>
      <c r="Z237" s="3" t="s">
        <v>884</v>
      </c>
      <c r="AB237" s="5">
        <v>45</v>
      </c>
      <c r="AC237" s="7">
        <f>AB237-12</f>
        <v>33</v>
      </c>
      <c r="AD237" s="6">
        <f>VLOOKUP(G237,RoF,2,FALSE)</f>
        <v>1.67</v>
      </c>
      <c r="AE237" s="5">
        <v>6</v>
      </c>
      <c r="AF237" s="4">
        <f>AB237/(AD237*AE237)</f>
        <v>4.491017964071856</v>
      </c>
      <c r="AG237" s="4">
        <f>AC237/AD237*IF(H237="Y",raking,1)*IF(I237="Y",Pierce,1)*IF(J237="Y",Sustained,1)*IF(K237="Y",standard,1)*IF(L237="Y",Pulse,1)*IF(M237="Y",Flash,1)</f>
        <v>22.724550898203596</v>
      </c>
      <c r="AH237" s="4">
        <f>VLOOKUP(S237,FireControl,2)</f>
        <v>1.07</v>
      </c>
      <c r="AI237" s="4">
        <f>VLOOKUP(N237,Range,2,FALSE)</f>
        <v>1.55</v>
      </c>
      <c r="AJ237" s="4">
        <f>VLOOKUP(W237,Arc,2,FALSE)</f>
        <v>1</v>
      </c>
      <c r="AK237" s="4">
        <f>VLOOKUP(X237,Interceptable,2,FALSE)</f>
        <v>0.9</v>
      </c>
      <c r="AL237" s="4">
        <f>VLOOKUP(F237,Interceptability,2,FALSE)</f>
        <v>0</v>
      </c>
      <c r="AM237" s="5">
        <v>1.15</v>
      </c>
      <c r="AN237" t="s">
        <v>893</v>
      </c>
      <c r="AO237" s="4">
        <f>MAX(AG237*AH237*AI237*AJ237*AK237*AM237,AL237)+MIN(AG237*AH237*AI237*AJ237*AK237,AL237)/2</f>
        <v>39.007771032934144</v>
      </c>
    </row>
    <row r="238" spans="1:41" ht="12.75">
      <c r="A238" t="s">
        <v>14</v>
      </c>
      <c r="B238" s="12" t="s">
        <v>13</v>
      </c>
      <c r="C238" s="9">
        <f t="shared" si="134"/>
        <v>15.613714285714284</v>
      </c>
      <c r="D238" t="s">
        <v>4</v>
      </c>
      <c r="E238" s="3" t="s">
        <v>12</v>
      </c>
      <c r="F238" s="7"/>
      <c r="G238" s="13" t="s">
        <v>11</v>
      </c>
      <c r="H238" s="5"/>
      <c r="I238" s="5"/>
      <c r="J238" s="5"/>
      <c r="K238" s="5"/>
      <c r="L238" s="5" t="s">
        <v>2</v>
      </c>
      <c r="M238" s="5"/>
      <c r="N238" s="10" t="str">
        <f>N237</f>
        <v>1/4</v>
      </c>
      <c r="O238" s="10">
        <v>5</v>
      </c>
      <c r="P238" s="10">
        <v>2</v>
      </c>
      <c r="Q238" s="10">
        <v>-10</v>
      </c>
      <c r="R238" s="10">
        <v>-26</v>
      </c>
      <c r="S238" s="9">
        <f>VLOOKUP($D238,Weapon_mode,2,FALSE)+VLOOKUP($E238,Weapon_size,2,FALSE)</f>
        <v>0</v>
      </c>
      <c r="T238" s="9">
        <f>VLOOKUP($D238,Weapon_mode,3,FALSE)++VLOOKUP($E238,Weapon_size,3,FALSE)</f>
        <v>1</v>
      </c>
      <c r="U238" s="9">
        <f>VLOOKUP($D238,Weapon_mode,4,FALSE)+VLOOKUP($E238,Weapon_size,4,FALSE)</f>
        <v>1</v>
      </c>
      <c r="V238" s="9">
        <f t="shared" si="168"/>
        <v>-8</v>
      </c>
      <c r="W238" s="7">
        <v>120</v>
      </c>
      <c r="X238" s="4" t="s">
        <v>2</v>
      </c>
      <c r="Y238" s="8"/>
      <c r="Z238" s="3" t="s">
        <v>890</v>
      </c>
      <c r="AB238" s="5">
        <v>24</v>
      </c>
      <c r="AC238" s="7">
        <f>AB238-12</f>
        <v>12</v>
      </c>
      <c r="AD238" s="6">
        <f>VLOOKUP(G238,RoF,2,FALSE)</f>
        <v>1.4</v>
      </c>
      <c r="AE238" s="5">
        <v>4</v>
      </c>
      <c r="AF238" s="4">
        <f>AB238/(AD238*AE238)</f>
        <v>4.285714285714286</v>
      </c>
      <c r="AG238" s="4">
        <f>AC238/AD238*IF(H238="Y",raking,1)*IF(I238="Y",Pierce,1)*IF(J238="Y",Sustained,1)*IF(K238="Y",standard,1)*IF(L238="Y",Pulse,1)*IF(M238="Y",Flash,1)</f>
        <v>9.857142857142856</v>
      </c>
      <c r="AH238" s="4">
        <f>VLOOKUP(S238,FireControl,2)</f>
        <v>1</v>
      </c>
      <c r="AI238" s="4">
        <f>VLOOKUP(N238,Range,2,FALSE)</f>
        <v>1.55</v>
      </c>
      <c r="AJ238" s="4">
        <f>VLOOKUP(W238,Arc,2,FALSE)</f>
        <v>1</v>
      </c>
      <c r="AK238" s="4">
        <f>VLOOKUP(X238,Interceptable,2,FALSE)</f>
        <v>0.9</v>
      </c>
      <c r="AL238" s="4">
        <f>VLOOKUP(F238,Interceptability,2,FALSE)</f>
        <v>0</v>
      </c>
      <c r="AM238" s="5">
        <v>1.1</v>
      </c>
      <c r="AN238" t="s">
        <v>893</v>
      </c>
      <c r="AO238" s="4">
        <f>MAX(AG238*AH238*AI238*AJ238*AK238*AM238,AL238)+MIN(AG238*AH238*AI238*AJ238*AK238,AL238)/2</f>
        <v>15.125785714285714</v>
      </c>
    </row>
    <row r="239" spans="1:41" ht="12.75">
      <c r="A239" t="s">
        <v>10</v>
      </c>
      <c r="B239" s="12" t="s">
        <v>9</v>
      </c>
      <c r="C239" s="9">
        <f t="shared" si="134"/>
        <v>19.365885000000006</v>
      </c>
      <c r="D239" t="s">
        <v>4</v>
      </c>
      <c r="E239" s="3" t="s">
        <v>8</v>
      </c>
      <c r="F239" s="7">
        <v>-1</v>
      </c>
      <c r="G239" s="11" t="s">
        <v>3</v>
      </c>
      <c r="H239" s="5"/>
      <c r="I239" s="5"/>
      <c r="J239" s="5"/>
      <c r="K239" s="5"/>
      <c r="L239" s="5" t="s">
        <v>2</v>
      </c>
      <c r="M239" s="5"/>
      <c r="N239" s="10" t="str">
        <f>N238</f>
        <v>1/4</v>
      </c>
      <c r="O239" s="10">
        <v>8</v>
      </c>
      <c r="P239" s="10">
        <v>-2</v>
      </c>
      <c r="Q239" s="10">
        <v>-17</v>
      </c>
      <c r="R239" s="10">
        <v>-40</v>
      </c>
      <c r="S239" s="9">
        <f>VLOOKUP($D239,Weapon_mode,2,FALSE)+VLOOKUP($E239,Weapon_size,2,FALSE)</f>
        <v>0</v>
      </c>
      <c r="T239" s="9">
        <f>VLOOKUP($D239,Weapon_mode,3,FALSE)++VLOOKUP($E239,Weapon_size,3,FALSE)</f>
        <v>2</v>
      </c>
      <c r="U239" s="9">
        <f>VLOOKUP($D239,Weapon_mode,4,FALSE)+VLOOKUP($E239,Weapon_size,4,FALSE)</f>
        <v>3</v>
      </c>
      <c r="V239" s="9">
        <f t="shared" si="168"/>
        <v>-13</v>
      </c>
      <c r="W239" s="7">
        <v>120</v>
      </c>
      <c r="X239" s="4" t="s">
        <v>2</v>
      </c>
      <c r="Y239" s="8"/>
      <c r="Z239" s="3" t="s">
        <v>889</v>
      </c>
      <c r="AB239" s="5">
        <v>15</v>
      </c>
      <c r="AC239" s="7">
        <v>12</v>
      </c>
      <c r="AD239" s="6">
        <f>VLOOKUP(G239,RoF,2,FALSE)</f>
        <v>1</v>
      </c>
      <c r="AE239" s="5">
        <v>2</v>
      </c>
      <c r="AF239" s="4">
        <f>AB239/(AD239*AE239)</f>
        <v>7.5</v>
      </c>
      <c r="AG239" s="4">
        <f>AC239/AD239*IF(H239="Y",raking,1)*IF(I239="Y",Pierce,1)*IF(J239="Y",Sustained,1)*IF(K239="Y",standard,1)*IF(L239="Y",Pulse,1)*IF(M239="Y",Flash,1)</f>
        <v>13.799999999999999</v>
      </c>
      <c r="AH239" s="4">
        <f>VLOOKUP(ROUND((S239+T239+U239)/3,0),FireControl,2)</f>
        <v>1.15</v>
      </c>
      <c r="AI239" s="4">
        <f>VLOOKUP(N239,Range,2,FALSE)</f>
        <v>1.55</v>
      </c>
      <c r="AJ239" s="4">
        <f>VLOOKUP(W239,Arc,2,FALSE)</f>
        <v>1</v>
      </c>
      <c r="AK239" s="4">
        <f>VLOOKUP(X239,Interceptable,2,FALSE)</f>
        <v>0.9</v>
      </c>
      <c r="AL239" s="4">
        <f>VLOOKUP(F239,Interceptability,2,FALSE)</f>
        <v>1</v>
      </c>
      <c r="AM239" s="5">
        <v>1.05</v>
      </c>
      <c r="AN239" t="s">
        <v>893</v>
      </c>
      <c r="AO239" s="4">
        <f>MAX(AG239*AH239*AI239*AJ239*AK239*AM239,AL239)+MIN(AG239*AH239*AI239*AJ239*AK239,AL239)/2</f>
        <v>23.745582499999998</v>
      </c>
    </row>
    <row r="240" spans="1:41" ht="12.75">
      <c r="A240" t="s">
        <v>7</v>
      </c>
      <c r="B240" s="12" t="s">
        <v>5</v>
      </c>
      <c r="C240" s="9">
        <f t="shared" si="134"/>
        <v>14.904</v>
      </c>
      <c r="D240" t="s">
        <v>4</v>
      </c>
      <c r="E240" s="3" t="s">
        <v>6</v>
      </c>
      <c r="F240" s="7">
        <v>-2</v>
      </c>
      <c r="G240" s="11" t="s">
        <v>3</v>
      </c>
      <c r="H240" s="5"/>
      <c r="I240" s="5"/>
      <c r="J240" s="5"/>
      <c r="K240" s="5"/>
      <c r="L240" s="5" t="s">
        <v>2</v>
      </c>
      <c r="M240" s="5"/>
      <c r="N240" s="10" t="str">
        <f>N239</f>
        <v>1/4</v>
      </c>
      <c r="O240" s="10"/>
      <c r="P240" s="10"/>
      <c r="Q240" s="10"/>
      <c r="R240" s="10"/>
      <c r="S240" s="9">
        <f>VLOOKUP($D240,Weapon_mode,2,FALSE)+VLOOKUP($E240,Weapon_size,2,FALSE)</f>
        <v>0</v>
      </c>
      <c r="T240" s="9">
        <f>VLOOKUP($D240,Weapon_mode,3,FALSE)++VLOOKUP($E240,Weapon_size,3,FALSE)</f>
        <v>3</v>
      </c>
      <c r="U240" s="9">
        <f>VLOOKUP($D240,Weapon_mode,4,FALSE)+VLOOKUP($E240,Weapon_size,4,FALSE)</f>
        <v>5</v>
      </c>
      <c r="V240" s="9">
        <f t="shared" si="168"/>
        <v>0</v>
      </c>
      <c r="W240" s="7">
        <v>120</v>
      </c>
      <c r="X240" s="4" t="s">
        <v>2</v>
      </c>
      <c r="Y240" s="8"/>
      <c r="Z240" s="3" t="s">
        <v>888</v>
      </c>
      <c r="AB240" s="5">
        <v>6</v>
      </c>
      <c r="AC240" s="7">
        <f>AB240</f>
        <v>6</v>
      </c>
      <c r="AD240" s="6">
        <f>VLOOKUP(G240,RoF,2,FALSE)</f>
        <v>1</v>
      </c>
      <c r="AE240" s="5">
        <v>1</v>
      </c>
      <c r="AF240" s="4">
        <f>AB240/(AD240*AE240)</f>
        <v>6</v>
      </c>
      <c r="AG240" s="4">
        <f>AC240/AD240*IF(H240="Y",raking,1)*IF(I240="Y",Pierce,1)*IF(J240="Y",Sustained,1)*IF(K240="Y",standard,1)*IF(L240="Y",Pulse,1)*IF(M240="Y",Flash,1)</f>
        <v>6.8999999999999995</v>
      </c>
      <c r="AH240" s="4">
        <f>VLOOKUP(ROUND((T240+U240)/2,0),FireControl,2)</f>
        <v>1.31</v>
      </c>
      <c r="AI240" s="4">
        <f>VLOOKUP(N240,Range,2,FALSE)</f>
        <v>1.55</v>
      </c>
      <c r="AJ240" s="4">
        <f>VLOOKUP(W240,Arc,2,FALSE)</f>
        <v>1</v>
      </c>
      <c r="AK240" s="4">
        <f>VLOOKUP(X240,Interceptable,2,FALSE)</f>
        <v>0.9</v>
      </c>
      <c r="AL240" s="4">
        <f>VLOOKUP(F240,Interceptability,2,FALSE)</f>
        <v>2</v>
      </c>
      <c r="AM240" s="5">
        <v>1</v>
      </c>
      <c r="AO240" s="4">
        <f>MAX(AG240*AH240*AI240*AJ240*AK240*AM240,AL240)+MIN(AG240*AH240*AI240*AJ240*AK240,AL240)/2</f>
        <v>13.609405</v>
      </c>
    </row>
    <row r="241" ht="12.75">
      <c r="V241" s="9">
        <f t="shared" si="168"/>
        <v>0</v>
      </c>
    </row>
    <row r="242" ht="12.75">
      <c r="V242" s="9">
        <f t="shared" si="168"/>
        <v>0</v>
      </c>
    </row>
    <row r="243" ht="12.75">
      <c r="V243" s="9">
        <f t="shared" si="168"/>
        <v>0</v>
      </c>
    </row>
    <row r="244" ht="12.75">
      <c r="V244" s="9">
        <f t="shared" si="168"/>
        <v>0</v>
      </c>
    </row>
    <row r="245" ht="12.75">
      <c r="V245" s="9">
        <f t="shared" si="168"/>
        <v>0</v>
      </c>
    </row>
    <row r="246" ht="12.75">
      <c r="V246" s="9">
        <f t="shared" si="168"/>
        <v>0</v>
      </c>
    </row>
    <row r="247" ht="12.75">
      <c r="V247" s="9">
        <f t="shared" si="168"/>
        <v>0</v>
      </c>
    </row>
    <row r="248" ht="12.75">
      <c r="V248" s="9">
        <f t="shared" si="168"/>
        <v>0</v>
      </c>
    </row>
    <row r="249" ht="12.75">
      <c r="V249" s="9">
        <f t="shared" si="168"/>
        <v>0</v>
      </c>
    </row>
    <row r="250" ht="12.75">
      <c r="V250" s="9">
        <f t="shared" si="168"/>
        <v>0</v>
      </c>
    </row>
    <row r="251" ht="12.75">
      <c r="V251" s="9">
        <f t="shared" si="168"/>
        <v>0</v>
      </c>
    </row>
  </sheetData>
  <conditionalFormatting sqref="C7:C102">
    <cfRule type="expression" priority="1" dxfId="6" stopIfTrue="1">
      <formula>$B7=""</formula>
    </cfRule>
  </conditionalFormatting>
  <conditionalFormatting sqref="V7:V217">
    <cfRule type="expression" priority="2" dxfId="6" stopIfTrue="1">
      <formula>$R7=""</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2:K197"/>
  <sheetViews>
    <sheetView workbookViewId="0" topLeftCell="A1">
      <selection activeCell="M17" sqref="M17"/>
    </sheetView>
  </sheetViews>
  <sheetFormatPr defaultColWidth="9.140625" defaultRowHeight="12.75"/>
  <cols>
    <col min="2" max="2" width="14.28125" style="0" customWidth="1"/>
  </cols>
  <sheetData>
    <row r="2" spans="2:11" ht="12.75">
      <c r="B2" s="119" t="s">
        <v>812</v>
      </c>
      <c r="C2" t="s">
        <v>813</v>
      </c>
      <c r="D2" s="5" t="s">
        <v>617</v>
      </c>
      <c r="E2" s="5" t="s">
        <v>814</v>
      </c>
      <c r="F2" s="5" t="s">
        <v>687</v>
      </c>
      <c r="G2" s="5" t="s">
        <v>611</v>
      </c>
      <c r="H2" s="5" t="s">
        <v>594</v>
      </c>
      <c r="I2" s="5" t="s">
        <v>632</v>
      </c>
      <c r="J2" s="5" t="s">
        <v>767</v>
      </c>
      <c r="K2" s="5" t="s">
        <v>54</v>
      </c>
    </row>
    <row r="3" spans="2:11" ht="12.75">
      <c r="B3" s="119">
        <v>0.9</v>
      </c>
      <c r="C3">
        <v>0.84</v>
      </c>
      <c r="D3" s="4">
        <f>E3/$B3</f>
        <v>1.2345679012345678</v>
      </c>
      <c r="E3" s="4">
        <f>F3/B3</f>
        <v>1.1111111111111112</v>
      </c>
      <c r="F3" s="4">
        <v>1</v>
      </c>
      <c r="G3" s="4">
        <f>F3*$C3</f>
        <v>0.84</v>
      </c>
      <c r="H3" s="4">
        <f>G3*$C3</f>
        <v>0.7055999999999999</v>
      </c>
      <c r="I3" s="4">
        <f>H3*$C3</f>
        <v>0.5927039999999999</v>
      </c>
      <c r="J3" s="4">
        <f>I3*$C3</f>
        <v>0.4978713599999999</v>
      </c>
      <c r="K3" s="4">
        <f>J3*$C3</f>
        <v>0.41821194239999987</v>
      </c>
    </row>
    <row r="4" spans="1:11" ht="12.75">
      <c r="A4" s="100"/>
      <c r="B4" s="119"/>
      <c r="C4">
        <v>0.8</v>
      </c>
      <c r="D4" s="5"/>
      <c r="E4" s="5"/>
      <c r="F4" s="5"/>
      <c r="G4" s="5"/>
      <c r="H4" s="5"/>
      <c r="I4" s="5"/>
      <c r="J4" s="5"/>
      <c r="K4" s="5"/>
    </row>
    <row r="5" spans="1:11" ht="12.75">
      <c r="A5" s="100"/>
      <c r="B5" s="119"/>
      <c r="D5" s="47" t="s">
        <v>766</v>
      </c>
      <c r="E5" s="47" t="s">
        <v>614</v>
      </c>
      <c r="F5" s="35" t="s">
        <v>469</v>
      </c>
      <c r="G5" s="47" t="s">
        <v>611</v>
      </c>
      <c r="H5" s="47" t="s">
        <v>594</v>
      </c>
      <c r="I5" s="47" t="s">
        <v>632</v>
      </c>
      <c r="J5" s="47" t="s">
        <v>767</v>
      </c>
      <c r="K5" s="47" t="s">
        <v>54</v>
      </c>
    </row>
    <row r="6" spans="1:11" ht="12.75">
      <c r="A6" s="100"/>
      <c r="B6" s="119"/>
      <c r="C6" s="138"/>
      <c r="D6" s="139">
        <f>$F6*D$3</f>
        <v>6.172839506172839</v>
      </c>
      <c r="E6" s="139">
        <f>$F6*E$3</f>
        <v>5.555555555555555</v>
      </c>
      <c r="F6" s="140">
        <v>5</v>
      </c>
      <c r="G6" s="139">
        <f>$F6*G$3</f>
        <v>4.2</v>
      </c>
      <c r="H6" s="139">
        <f>$F6*H$3</f>
        <v>3.5279999999999996</v>
      </c>
      <c r="I6" s="139">
        <f>$F6*I$3</f>
        <v>2.9635199999999995</v>
      </c>
      <c r="J6" s="139">
        <f>$F6*J$3</f>
        <v>2.4893567999999995</v>
      </c>
      <c r="K6" s="139">
        <f>$F6*K$3</f>
        <v>2.0910597119999994</v>
      </c>
    </row>
    <row r="7" spans="1:11" ht="12.75">
      <c r="A7" s="121" t="s">
        <v>621</v>
      </c>
      <c r="B7" s="122">
        <v>-1</v>
      </c>
      <c r="C7" s="141"/>
      <c r="D7" s="139">
        <f>$F7*D$3</f>
        <v>7.4074074074074066</v>
      </c>
      <c r="E7" s="139">
        <f>$F7*E$3</f>
        <v>6.666666666666667</v>
      </c>
      <c r="F7" s="140">
        <v>6</v>
      </c>
      <c r="G7" s="139">
        <f>$F7*G$3</f>
        <v>5.04</v>
      </c>
      <c r="H7" s="139">
        <f>$F7*H$3</f>
        <v>4.233599999999999</v>
      </c>
      <c r="I7" s="139">
        <f>$F7*I$3</f>
        <v>3.5562239999999994</v>
      </c>
      <c r="J7" s="139">
        <f>$F7*J$3</f>
        <v>2.987228159999999</v>
      </c>
      <c r="K7" s="139">
        <f>$F7*K$3</f>
        <v>2.509271654399999</v>
      </c>
    </row>
    <row r="8" spans="1:11" ht="12.75">
      <c r="A8" s="120" t="s">
        <v>768</v>
      </c>
      <c r="B8" s="5">
        <v>-2</v>
      </c>
      <c r="C8" s="138"/>
      <c r="D8" s="139">
        <f>$F8*D$3</f>
        <v>8.641975308641975</v>
      </c>
      <c r="E8" s="139">
        <f>$F8*E$3</f>
        <v>7.777777777777779</v>
      </c>
      <c r="F8" s="140">
        <v>7</v>
      </c>
      <c r="G8" s="139">
        <f>$F8*G$3</f>
        <v>5.88</v>
      </c>
      <c r="H8" s="139">
        <f>$F8*H$3</f>
        <v>4.9392</v>
      </c>
      <c r="I8" s="139">
        <f>$F8*I$3</f>
        <v>4.148928</v>
      </c>
      <c r="J8" s="139">
        <f>$F8*J$3</f>
        <v>3.485099519999999</v>
      </c>
      <c r="K8" s="139">
        <f>$F8*K$3</f>
        <v>2.9274835967999993</v>
      </c>
    </row>
    <row r="9" spans="1:11" ht="12.75">
      <c r="A9" s="100"/>
      <c r="B9" s="119"/>
      <c r="C9" s="138"/>
      <c r="D9" s="125">
        <f>$F9*D$3</f>
        <v>9.876543209876543</v>
      </c>
      <c r="E9" s="125">
        <f>$F9*E$3</f>
        <v>8.88888888888889</v>
      </c>
      <c r="F9" s="140">
        <v>8</v>
      </c>
      <c r="G9" s="125">
        <f>$F9*G$3</f>
        <v>6.72</v>
      </c>
      <c r="H9" s="125">
        <f>$F9*H$3</f>
        <v>5.644799999999999</v>
      </c>
      <c r="I9" s="125">
        <f>$F9*I$3</f>
        <v>4.741631999999999</v>
      </c>
      <c r="J9" s="125">
        <f>$F9*J$3</f>
        <v>3.982970879999999</v>
      </c>
      <c r="K9" s="125">
        <f>$F9*K$3</f>
        <v>3.345695539199999</v>
      </c>
    </row>
    <row r="10" spans="1:11" ht="12.75">
      <c r="A10" s="100"/>
      <c r="B10" s="119"/>
      <c r="C10" s="138"/>
      <c r="D10" s="139">
        <f>$F10*D$3</f>
        <v>11.11111111111111</v>
      </c>
      <c r="E10" s="139">
        <f>$F10*E$3</f>
        <v>10</v>
      </c>
      <c r="F10" s="140">
        <v>9</v>
      </c>
      <c r="G10" s="139">
        <f>$F10*G$3</f>
        <v>7.56</v>
      </c>
      <c r="H10" s="139">
        <f>$F10*H$3</f>
        <v>6.350399999999999</v>
      </c>
      <c r="I10" s="139">
        <f>$F10*I$3</f>
        <v>5.334335999999999</v>
      </c>
      <c r="J10" s="139">
        <f>$F10*J$3</f>
        <v>4.4808422399999985</v>
      </c>
      <c r="K10" s="139">
        <f>$F10*K$3</f>
        <v>3.7639074815999987</v>
      </c>
    </row>
    <row r="11" spans="1:11" ht="12.75">
      <c r="A11" s="100"/>
      <c r="B11" s="119"/>
      <c r="C11" s="138"/>
      <c r="D11" s="125">
        <f>$F11*D$3</f>
        <v>12.345679012345679</v>
      </c>
      <c r="E11" s="125">
        <f>$F11*E$3</f>
        <v>11.11111111111111</v>
      </c>
      <c r="F11" s="140">
        <v>10</v>
      </c>
      <c r="G11" s="125">
        <f>$F11*G$3</f>
        <v>8.4</v>
      </c>
      <c r="H11" s="125">
        <f>$F11*H$3</f>
        <v>7.055999999999999</v>
      </c>
      <c r="I11" s="125">
        <f>$F11*I$3</f>
        <v>5.927039999999999</v>
      </c>
      <c r="J11" s="125">
        <f>$F11*J$3</f>
        <v>4.978713599999999</v>
      </c>
      <c r="K11" s="125">
        <f>$F11*K$3</f>
        <v>4.182119423999999</v>
      </c>
    </row>
    <row r="12" spans="1:11" ht="12.75">
      <c r="A12" s="100"/>
      <c r="B12" s="119"/>
      <c r="C12" s="138"/>
      <c r="D12" s="139">
        <f>$F12*D$3</f>
        <v>13.580246913580247</v>
      </c>
      <c r="E12" s="139">
        <f>$F12*E$3</f>
        <v>12.222222222222223</v>
      </c>
      <c r="F12" s="140">
        <v>11</v>
      </c>
      <c r="G12" s="139">
        <f>$F12*G$3</f>
        <v>9.24</v>
      </c>
      <c r="H12" s="139">
        <f>$F12*H$3</f>
        <v>7.761599999999999</v>
      </c>
      <c r="I12" s="139">
        <f>$F12*I$3</f>
        <v>6.519743999999999</v>
      </c>
      <c r="J12" s="139">
        <f>$F12*J$3</f>
        <v>5.4765849599999985</v>
      </c>
      <c r="K12" s="139">
        <f>$F12*K$3</f>
        <v>4.600331366399999</v>
      </c>
    </row>
    <row r="13" spans="1:11" ht="12.75">
      <c r="A13" s="100"/>
      <c r="B13" s="119"/>
      <c r="C13" s="138"/>
      <c r="D13" s="125">
        <f>$F13*D$3</f>
        <v>14.814814814814813</v>
      </c>
      <c r="E13" s="125">
        <f>$F13*E$3</f>
        <v>13.333333333333334</v>
      </c>
      <c r="F13" s="140">
        <v>12</v>
      </c>
      <c r="G13" s="125">
        <f>$F13*G$3</f>
        <v>10.08</v>
      </c>
      <c r="H13" s="125">
        <f>$F13*H$3</f>
        <v>8.467199999999998</v>
      </c>
      <c r="I13" s="125">
        <f>$F13*I$3</f>
        <v>7.112447999999999</v>
      </c>
      <c r="J13" s="125">
        <f>$F13*J$3</f>
        <v>5.974456319999998</v>
      </c>
      <c r="K13" s="125">
        <f>$F13*K$3</f>
        <v>5.018543308799998</v>
      </c>
    </row>
    <row r="14" spans="1:11" ht="12.75">
      <c r="A14" s="100"/>
      <c r="B14" s="119"/>
      <c r="C14" s="141"/>
      <c r="D14" s="139">
        <f>$F14*D$3</f>
        <v>16.049382716049383</v>
      </c>
      <c r="E14" s="139">
        <f>$F14*E$3</f>
        <v>14.444444444444445</v>
      </c>
      <c r="F14" s="140">
        <v>13</v>
      </c>
      <c r="G14" s="139">
        <f>$F14*G$3</f>
        <v>10.92</v>
      </c>
      <c r="H14" s="139">
        <f>$F14*H$3</f>
        <v>9.172799999999999</v>
      </c>
      <c r="I14" s="139">
        <f>$F14*I$3</f>
        <v>7.705151999999998</v>
      </c>
      <c r="J14" s="139">
        <f>$F14*J$3</f>
        <v>6.4723276799999985</v>
      </c>
      <c r="K14" s="139">
        <f>$F14*K$3</f>
        <v>5.436755251199998</v>
      </c>
    </row>
    <row r="15" spans="1:11" ht="12.75">
      <c r="A15" s="100"/>
      <c r="B15" s="123"/>
      <c r="C15" s="124"/>
      <c r="D15" s="125">
        <f>$F15*D$3</f>
        <v>17.28395061728395</v>
      </c>
      <c r="E15" s="125">
        <f>$F15*E$3</f>
        <v>15.555555555555557</v>
      </c>
      <c r="F15" s="140">
        <v>14</v>
      </c>
      <c r="G15" s="125">
        <f>$F15*G$3</f>
        <v>11.76</v>
      </c>
      <c r="H15" s="125">
        <f>$F15*H$3</f>
        <v>9.8784</v>
      </c>
      <c r="I15" s="125">
        <f>$F15*I$3</f>
        <v>8.297856</v>
      </c>
      <c r="J15" s="125">
        <f>$F15*J$3</f>
        <v>6.970199039999998</v>
      </c>
      <c r="K15" s="125">
        <f>$F15*K$3</f>
        <v>5.8549671935999985</v>
      </c>
    </row>
    <row r="16" spans="1:11" ht="51">
      <c r="A16" s="126" t="s">
        <v>494</v>
      </c>
      <c r="B16" s="127" t="s">
        <v>591</v>
      </c>
      <c r="C16" s="127" t="s">
        <v>769</v>
      </c>
      <c r="D16" s="128" t="s">
        <v>484</v>
      </c>
      <c r="E16" s="129" t="s">
        <v>770</v>
      </c>
      <c r="F16" s="130" t="s">
        <v>771</v>
      </c>
      <c r="G16" s="131" t="s">
        <v>772</v>
      </c>
      <c r="H16" s="131" t="s">
        <v>773</v>
      </c>
      <c r="I16" s="127"/>
      <c r="J16" s="127"/>
      <c r="K16" s="127"/>
    </row>
    <row r="17" spans="1:11" ht="12.75">
      <c r="A17" s="66"/>
      <c r="B17" s="64" t="s">
        <v>638</v>
      </c>
      <c r="C17" s="64" t="s">
        <v>637</v>
      </c>
      <c r="D17" s="124">
        <v>6</v>
      </c>
      <c r="E17" s="57">
        <v>2120</v>
      </c>
      <c r="F17" s="5">
        <v>4</v>
      </c>
      <c r="G17" s="119">
        <v>6</v>
      </c>
      <c r="H17" s="119">
        <v>2120</v>
      </c>
      <c r="J17" s="5"/>
      <c r="K17" s="5"/>
    </row>
    <row r="18" spans="1:11" ht="12.75">
      <c r="A18" s="87"/>
      <c r="B18" s="64" t="s">
        <v>636</v>
      </c>
      <c r="C18" s="64" t="s">
        <v>637</v>
      </c>
      <c r="D18" s="124">
        <v>6</v>
      </c>
      <c r="E18" s="57">
        <v>2152</v>
      </c>
      <c r="F18" s="5">
        <v>4</v>
      </c>
      <c r="G18" s="119"/>
      <c r="H18" s="119"/>
      <c r="J18" s="5"/>
      <c r="K18" s="5"/>
    </row>
    <row r="19" spans="1:11" ht="12.75">
      <c r="A19" s="87"/>
      <c r="B19" s="64" t="s">
        <v>496</v>
      </c>
      <c r="C19" s="64" t="s">
        <v>611</v>
      </c>
      <c r="D19" s="124">
        <v>5</v>
      </c>
      <c r="E19" s="57">
        <v>2168</v>
      </c>
      <c r="F19" s="5">
        <v>3</v>
      </c>
      <c r="G19" s="119"/>
      <c r="H19" s="119"/>
      <c r="I19" t="s">
        <v>774</v>
      </c>
      <c r="J19" s="5"/>
      <c r="K19" s="5"/>
    </row>
    <row r="20" spans="1:11" ht="12.75">
      <c r="A20" s="87"/>
      <c r="B20" s="64" t="s">
        <v>495</v>
      </c>
      <c r="C20" s="64" t="s">
        <v>611</v>
      </c>
      <c r="D20" s="118">
        <v>6</v>
      </c>
      <c r="E20" s="57">
        <v>2190</v>
      </c>
      <c r="F20" s="5">
        <v>5</v>
      </c>
      <c r="G20" s="119"/>
      <c r="H20" s="119"/>
      <c r="J20" s="5"/>
      <c r="K20" s="5"/>
    </row>
    <row r="21" spans="1:11" ht="12.75">
      <c r="A21" s="87"/>
      <c r="B21" s="64" t="s">
        <v>775</v>
      </c>
      <c r="C21" s="64" t="s">
        <v>614</v>
      </c>
      <c r="D21" s="124">
        <v>6</v>
      </c>
      <c r="E21" s="57">
        <v>2215</v>
      </c>
      <c r="F21" s="5">
        <v>7</v>
      </c>
      <c r="G21" s="119"/>
      <c r="H21" s="119"/>
      <c r="J21" s="5"/>
      <c r="K21" s="5"/>
    </row>
    <row r="22" spans="1:11" ht="12.75">
      <c r="A22" s="87"/>
      <c r="B22" s="64" t="s">
        <v>776</v>
      </c>
      <c r="C22" s="64" t="s">
        <v>621</v>
      </c>
      <c r="D22" s="124">
        <v>6</v>
      </c>
      <c r="E22" s="57">
        <v>2216</v>
      </c>
      <c r="F22" s="5"/>
      <c r="G22" s="119"/>
      <c r="H22" s="119"/>
      <c r="J22" s="5"/>
      <c r="K22" s="5"/>
    </row>
    <row r="23" spans="1:11" ht="12.75">
      <c r="A23" s="87"/>
      <c r="B23" s="64" t="s">
        <v>626</v>
      </c>
      <c r="C23" s="64" t="s">
        <v>611</v>
      </c>
      <c r="D23" s="124" t="s">
        <v>777</v>
      </c>
      <c r="E23" s="57">
        <v>2216</v>
      </c>
      <c r="F23" s="5">
        <v>7</v>
      </c>
      <c r="G23" s="119"/>
      <c r="H23" s="119"/>
      <c r="I23" t="s">
        <v>778</v>
      </c>
      <c r="J23" s="5"/>
      <c r="K23" s="5"/>
    </row>
    <row r="24" spans="1:11" ht="12.75">
      <c r="A24" s="87"/>
      <c r="B24" s="64" t="s">
        <v>503</v>
      </c>
      <c r="C24" s="64" t="s">
        <v>469</v>
      </c>
      <c r="D24" s="124">
        <v>6</v>
      </c>
      <c r="E24" s="57">
        <v>2225</v>
      </c>
      <c r="F24" s="5"/>
      <c r="G24" s="119"/>
      <c r="H24" s="119"/>
      <c r="J24" s="5"/>
      <c r="K24" s="5"/>
    </row>
    <row r="25" spans="1:11" ht="12.75">
      <c r="A25" s="87"/>
      <c r="B25" s="64" t="s">
        <v>613</v>
      </c>
      <c r="C25" s="64" t="s">
        <v>614</v>
      </c>
      <c r="D25" s="118">
        <v>6</v>
      </c>
      <c r="E25" s="57">
        <v>2240</v>
      </c>
      <c r="F25" s="5"/>
      <c r="G25" s="119"/>
      <c r="H25" s="119"/>
      <c r="I25" t="s">
        <v>621</v>
      </c>
      <c r="J25" s="5"/>
      <c r="K25" s="5"/>
    </row>
    <row r="26" spans="1:11" ht="12.75">
      <c r="A26" s="87"/>
      <c r="B26" s="64" t="s">
        <v>629</v>
      </c>
      <c r="C26" s="64" t="s">
        <v>617</v>
      </c>
      <c r="D26" s="118" t="s">
        <v>777</v>
      </c>
      <c r="E26" s="57">
        <v>2240</v>
      </c>
      <c r="F26" s="5">
        <v>7</v>
      </c>
      <c r="G26" s="119"/>
      <c r="H26" s="119"/>
      <c r="J26" s="5"/>
      <c r="K26" s="5"/>
    </row>
    <row r="27" spans="1:11" ht="12.75">
      <c r="A27" s="87"/>
      <c r="B27" s="64" t="s">
        <v>499</v>
      </c>
      <c r="C27" s="64" t="s">
        <v>611</v>
      </c>
      <c r="D27" s="124">
        <v>7</v>
      </c>
      <c r="E27" s="57">
        <v>2241</v>
      </c>
      <c r="F27" s="5">
        <v>6</v>
      </c>
      <c r="G27" s="119">
        <v>7</v>
      </c>
      <c r="H27" s="119">
        <v>2241</v>
      </c>
      <c r="J27" s="5"/>
      <c r="K27" s="5"/>
    </row>
    <row r="28" spans="1:11" ht="12.75">
      <c r="A28" s="87"/>
      <c r="B28" s="64" t="s">
        <v>779</v>
      </c>
      <c r="C28" s="64" t="s">
        <v>614</v>
      </c>
      <c r="D28" s="124">
        <v>8</v>
      </c>
      <c r="E28" s="57">
        <v>2242</v>
      </c>
      <c r="F28" s="5"/>
      <c r="G28" s="119"/>
      <c r="H28" s="119"/>
      <c r="J28" s="5"/>
      <c r="K28" s="5"/>
    </row>
    <row r="29" spans="1:11" ht="12.75">
      <c r="A29" s="87"/>
      <c r="B29" s="64" t="s">
        <v>780</v>
      </c>
      <c r="C29" s="64" t="s">
        <v>55</v>
      </c>
      <c r="D29" s="124">
        <v>0</v>
      </c>
      <c r="E29" s="57">
        <v>2244</v>
      </c>
      <c r="F29" s="5">
        <v>2</v>
      </c>
      <c r="G29" s="119"/>
      <c r="H29" s="119"/>
      <c r="J29" s="5"/>
      <c r="K29" s="5"/>
    </row>
    <row r="30" spans="1:11" ht="12.75">
      <c r="A30" s="87"/>
      <c r="B30" s="64" t="s">
        <v>497</v>
      </c>
      <c r="C30" s="64" t="s">
        <v>621</v>
      </c>
      <c r="D30" s="124">
        <v>6</v>
      </c>
      <c r="E30" s="57">
        <v>2246</v>
      </c>
      <c r="F30" s="5">
        <v>7</v>
      </c>
      <c r="G30" s="119"/>
      <c r="H30" s="119"/>
      <c r="J30" s="5"/>
      <c r="K30" s="5"/>
    </row>
    <row r="31" spans="1:11" ht="12.75">
      <c r="A31" s="87"/>
      <c r="B31" s="64" t="s">
        <v>504</v>
      </c>
      <c r="C31" s="64" t="s">
        <v>632</v>
      </c>
      <c r="D31" s="124">
        <v>6</v>
      </c>
      <c r="E31" s="57">
        <v>2246</v>
      </c>
      <c r="F31" s="5">
        <v>4</v>
      </c>
      <c r="G31" s="119"/>
      <c r="H31" s="119"/>
      <c r="J31" s="5"/>
      <c r="K31" s="5"/>
    </row>
    <row r="32" spans="1:11" ht="12.75">
      <c r="A32" s="87"/>
      <c r="B32" s="64" t="s">
        <v>628</v>
      </c>
      <c r="C32" s="64" t="s">
        <v>469</v>
      </c>
      <c r="D32" s="124">
        <v>6</v>
      </c>
      <c r="E32" s="57">
        <v>2249</v>
      </c>
      <c r="F32" s="5"/>
      <c r="G32" s="119"/>
      <c r="H32" s="119"/>
      <c r="J32" s="5"/>
      <c r="K32" s="14" t="s">
        <v>781</v>
      </c>
    </row>
    <row r="33" spans="1:11" ht="12.75">
      <c r="A33" s="87"/>
      <c r="B33" s="64" t="s">
        <v>619</v>
      </c>
      <c r="C33" s="64" t="s">
        <v>614</v>
      </c>
      <c r="D33" s="124">
        <v>10</v>
      </c>
      <c r="E33" s="57">
        <v>2253</v>
      </c>
      <c r="F33" s="5">
        <v>9</v>
      </c>
      <c r="G33" s="119"/>
      <c r="H33" s="119"/>
      <c r="I33" t="s">
        <v>597</v>
      </c>
      <c r="J33" s="5"/>
      <c r="K33" s="5"/>
    </row>
    <row r="34" spans="1:11" ht="12.75">
      <c r="A34" s="87"/>
      <c r="B34" s="64" t="s">
        <v>624</v>
      </c>
      <c r="C34" s="64" t="s">
        <v>614</v>
      </c>
      <c r="D34" s="124">
        <v>8</v>
      </c>
      <c r="E34" s="57">
        <v>2254</v>
      </c>
      <c r="F34" s="5"/>
      <c r="G34" s="119"/>
      <c r="H34" s="119"/>
      <c r="J34" s="5"/>
      <c r="K34" s="5"/>
    </row>
    <row r="35" spans="1:11" ht="12.75">
      <c r="A35" s="87"/>
      <c r="B35" s="64" t="s">
        <v>72</v>
      </c>
      <c r="C35" s="64" t="s">
        <v>55</v>
      </c>
      <c r="D35" s="124">
        <v>0</v>
      </c>
      <c r="E35" s="57">
        <v>2255</v>
      </c>
      <c r="F35" s="5">
        <v>2</v>
      </c>
      <c r="G35" s="119"/>
      <c r="H35" s="119"/>
      <c r="J35" s="5"/>
      <c r="K35" s="5"/>
    </row>
    <row r="36" spans="1:11" ht="12.75">
      <c r="A36" s="87"/>
      <c r="B36" s="64" t="s">
        <v>630</v>
      </c>
      <c r="C36" s="64" t="s">
        <v>614</v>
      </c>
      <c r="D36" s="124">
        <v>8</v>
      </c>
      <c r="E36" s="57">
        <v>2255</v>
      </c>
      <c r="F36" s="5"/>
      <c r="G36" s="119"/>
      <c r="H36" s="119"/>
      <c r="I36" t="s">
        <v>782</v>
      </c>
      <c r="J36" s="5"/>
      <c r="K36" s="5"/>
    </row>
    <row r="37" spans="1:11" ht="12.75">
      <c r="A37" s="87"/>
      <c r="B37" s="64" t="s">
        <v>783</v>
      </c>
      <c r="C37" s="64" t="s">
        <v>55</v>
      </c>
      <c r="D37" s="124">
        <v>0</v>
      </c>
      <c r="E37" s="57">
        <v>2259</v>
      </c>
      <c r="F37" s="5">
        <v>3</v>
      </c>
      <c r="G37" s="119">
        <v>8</v>
      </c>
      <c r="H37" s="119">
        <v>2259</v>
      </c>
      <c r="J37" s="5"/>
      <c r="K37" s="5"/>
    </row>
    <row r="38" spans="1:11" ht="12.75">
      <c r="A38" s="87"/>
      <c r="B38" s="64" t="s">
        <v>616</v>
      </c>
      <c r="C38" s="64" t="s">
        <v>617</v>
      </c>
      <c r="D38" s="118">
        <v>8</v>
      </c>
      <c r="E38" s="57">
        <v>2259</v>
      </c>
      <c r="F38" s="5">
        <v>10</v>
      </c>
      <c r="G38" s="119"/>
      <c r="H38" s="119"/>
      <c r="J38" s="5"/>
      <c r="K38" s="5"/>
    </row>
    <row r="39" spans="1:11" ht="12.75">
      <c r="A39" s="87"/>
      <c r="B39" s="64" t="s">
        <v>506</v>
      </c>
      <c r="C39" s="64" t="s">
        <v>614</v>
      </c>
      <c r="D39" s="124">
        <v>9</v>
      </c>
      <c r="E39" s="57">
        <v>2261</v>
      </c>
      <c r="F39" s="5"/>
      <c r="G39" s="119"/>
      <c r="H39" s="119"/>
      <c r="J39" s="5"/>
      <c r="K39" s="5"/>
    </row>
    <row r="40" spans="1:11" ht="12.75">
      <c r="A40" s="87"/>
      <c r="B40" s="12" t="s">
        <v>784</v>
      </c>
      <c r="C40" s="12" t="s">
        <v>469</v>
      </c>
      <c r="D40" s="118">
        <v>8</v>
      </c>
      <c r="E40" s="57">
        <v>2268</v>
      </c>
      <c r="F40" s="5">
        <v>9</v>
      </c>
      <c r="G40" s="119">
        <v>9</v>
      </c>
      <c r="H40" s="119">
        <v>2265</v>
      </c>
      <c r="J40" s="5"/>
      <c r="K40" s="5"/>
    </row>
    <row r="41" spans="1:11" ht="12.75">
      <c r="A41" s="87"/>
      <c r="B41" s="65" t="s">
        <v>1009</v>
      </c>
      <c r="C41" s="65" t="s">
        <v>611</v>
      </c>
      <c r="D41" s="118">
        <v>8</v>
      </c>
      <c r="E41" s="57">
        <v>2268</v>
      </c>
      <c r="F41" s="5"/>
      <c r="G41" s="119"/>
      <c r="H41" s="119"/>
      <c r="J41" s="5"/>
      <c r="K41" s="5"/>
    </row>
    <row r="42" spans="1:11" ht="12.75">
      <c r="A42" s="132"/>
      <c r="B42" s="64" t="s">
        <v>785</v>
      </c>
      <c r="C42" s="64" t="s">
        <v>611</v>
      </c>
      <c r="D42" s="124">
        <v>12</v>
      </c>
      <c r="E42" s="57">
        <v>2268</v>
      </c>
      <c r="F42" s="61">
        <v>11</v>
      </c>
      <c r="G42" s="61"/>
      <c r="H42" s="119"/>
      <c r="I42" s="12" t="s">
        <v>778</v>
      </c>
      <c r="J42" s="61"/>
      <c r="K42" s="61"/>
    </row>
    <row r="43" spans="1:11" ht="12.75">
      <c r="A43" s="87"/>
      <c r="B43" s="64"/>
      <c r="C43" s="64"/>
      <c r="D43" s="118"/>
      <c r="E43" s="57"/>
      <c r="F43" s="5"/>
      <c r="G43" s="119"/>
      <c r="H43" s="119"/>
      <c r="J43" s="5"/>
      <c r="K43" s="5"/>
    </row>
    <row r="44" spans="1:11" ht="12.75">
      <c r="A44" s="126" t="s">
        <v>508</v>
      </c>
      <c r="B44" s="127" t="s">
        <v>591</v>
      </c>
      <c r="C44" s="127" t="s">
        <v>769</v>
      </c>
      <c r="D44" s="128" t="s">
        <v>484</v>
      </c>
      <c r="E44" s="129" t="s">
        <v>770</v>
      </c>
      <c r="F44" s="44"/>
      <c r="G44" s="133"/>
      <c r="H44" s="133"/>
      <c r="I44" s="134"/>
      <c r="J44" s="44"/>
      <c r="K44" s="44"/>
    </row>
    <row r="45" spans="1:11" ht="12.75">
      <c r="A45" s="102" t="s">
        <v>639</v>
      </c>
      <c r="B45" s="64" t="s">
        <v>516</v>
      </c>
      <c r="C45" s="64" t="s">
        <v>621</v>
      </c>
      <c r="D45" s="124">
        <v>10</v>
      </c>
      <c r="E45" s="57">
        <v>1880</v>
      </c>
      <c r="F45" s="5"/>
      <c r="G45" s="119">
        <v>10</v>
      </c>
      <c r="H45" s="119">
        <v>1800</v>
      </c>
      <c r="J45" s="5"/>
      <c r="K45" s="5"/>
    </row>
    <row r="46" spans="1:11" ht="12.75">
      <c r="A46" s="102" t="s">
        <v>641</v>
      </c>
      <c r="B46" s="64" t="s">
        <v>519</v>
      </c>
      <c r="C46" s="64" t="s">
        <v>611</v>
      </c>
      <c r="D46" s="124">
        <v>9</v>
      </c>
      <c r="E46" s="57">
        <v>1905</v>
      </c>
      <c r="F46" s="5">
        <v>8</v>
      </c>
      <c r="G46" s="119"/>
      <c r="H46" s="119"/>
      <c r="J46" s="5"/>
      <c r="K46" s="5"/>
    </row>
    <row r="47" spans="1:11" ht="12.75">
      <c r="A47" s="87"/>
      <c r="B47" s="64" t="s">
        <v>642</v>
      </c>
      <c r="C47" s="64" t="s">
        <v>611</v>
      </c>
      <c r="D47" s="124">
        <v>15</v>
      </c>
      <c r="E47" s="57">
        <v>1920</v>
      </c>
      <c r="F47" s="5">
        <v>12</v>
      </c>
      <c r="G47" s="119"/>
      <c r="H47" s="119"/>
      <c r="I47" t="s">
        <v>778</v>
      </c>
      <c r="J47" s="5"/>
      <c r="K47" s="5"/>
    </row>
    <row r="48" spans="1:11" ht="12.75">
      <c r="A48" s="87"/>
      <c r="B48" s="64" t="s">
        <v>518</v>
      </c>
      <c r="C48" s="64" t="s">
        <v>611</v>
      </c>
      <c r="D48" s="124">
        <v>12</v>
      </c>
      <c r="E48" s="57">
        <v>1952</v>
      </c>
      <c r="F48" s="5">
        <v>9</v>
      </c>
      <c r="G48" s="119">
        <v>11</v>
      </c>
      <c r="H48" s="119">
        <v>1950</v>
      </c>
      <c r="J48" s="5"/>
      <c r="K48" s="5"/>
    </row>
    <row r="49" spans="1:11" ht="12.75">
      <c r="A49" s="87"/>
      <c r="B49" s="64" t="s">
        <v>509</v>
      </c>
      <c r="C49" s="64" t="s">
        <v>611</v>
      </c>
      <c r="D49" s="124">
        <v>12</v>
      </c>
      <c r="E49" s="57">
        <v>1952</v>
      </c>
      <c r="F49" s="5">
        <v>9</v>
      </c>
      <c r="G49" s="119"/>
      <c r="H49" s="119"/>
      <c r="J49" s="5"/>
      <c r="K49" s="5"/>
    </row>
    <row r="50" spans="1:11" ht="12.75">
      <c r="A50" s="87"/>
      <c r="B50" s="64" t="s">
        <v>645</v>
      </c>
      <c r="C50" s="64" t="s">
        <v>786</v>
      </c>
      <c r="D50" s="124">
        <v>8</v>
      </c>
      <c r="E50" s="57">
        <v>2005</v>
      </c>
      <c r="F50" s="5">
        <v>7</v>
      </c>
      <c r="G50" s="119"/>
      <c r="H50" s="119"/>
      <c r="I50" t="s">
        <v>787</v>
      </c>
      <c r="J50" s="5"/>
      <c r="K50" s="5"/>
    </row>
    <row r="51" spans="1:11" ht="12.75">
      <c r="A51" s="87"/>
      <c r="B51" s="64" t="s">
        <v>644</v>
      </c>
      <c r="C51" s="64" t="s">
        <v>469</v>
      </c>
      <c r="D51" s="124">
        <v>10</v>
      </c>
      <c r="E51" s="57">
        <v>2022</v>
      </c>
      <c r="F51" s="5"/>
      <c r="G51" s="119"/>
      <c r="H51" s="119"/>
      <c r="I51" t="s">
        <v>788</v>
      </c>
      <c r="J51" s="5"/>
      <c r="K51" s="5"/>
    </row>
    <row r="52" spans="1:11" ht="12.75">
      <c r="A52" s="87"/>
      <c r="B52" s="64" t="s">
        <v>87</v>
      </c>
      <c r="C52" s="64" t="s">
        <v>55</v>
      </c>
      <c r="D52" s="124">
        <v>0</v>
      </c>
      <c r="E52" s="57">
        <v>2050</v>
      </c>
      <c r="F52" s="5">
        <v>4</v>
      </c>
      <c r="G52" s="119"/>
      <c r="H52" s="119"/>
      <c r="J52" s="5"/>
      <c r="K52" s="5"/>
    </row>
    <row r="53" spans="1:11" ht="12.75">
      <c r="A53" s="87"/>
      <c r="B53" s="64" t="s">
        <v>515</v>
      </c>
      <c r="C53" s="64" t="s">
        <v>614</v>
      </c>
      <c r="D53" s="124">
        <v>12</v>
      </c>
      <c r="E53" s="57">
        <v>2058</v>
      </c>
      <c r="F53" s="5"/>
      <c r="G53" s="119"/>
      <c r="H53" s="119"/>
      <c r="J53" s="5"/>
      <c r="K53" s="5"/>
    </row>
    <row r="54" spans="1:11" ht="12.75">
      <c r="A54" s="87"/>
      <c r="B54" s="64" t="s">
        <v>510</v>
      </c>
      <c r="C54" s="64" t="s">
        <v>614</v>
      </c>
      <c r="D54" s="118">
        <v>14</v>
      </c>
      <c r="E54" s="57">
        <v>2058</v>
      </c>
      <c r="F54" s="5"/>
      <c r="G54" s="119"/>
      <c r="H54" s="119"/>
      <c r="J54" s="5"/>
      <c r="K54" s="5" t="s">
        <v>789</v>
      </c>
    </row>
    <row r="55" spans="1:11" ht="12.75">
      <c r="A55" s="102" t="s">
        <v>639</v>
      </c>
      <c r="B55" s="64" t="s">
        <v>517</v>
      </c>
      <c r="C55" s="64" t="s">
        <v>621</v>
      </c>
      <c r="D55" s="124">
        <v>11</v>
      </c>
      <c r="E55" s="57">
        <v>1880</v>
      </c>
      <c r="F55" s="5"/>
      <c r="G55" s="119"/>
      <c r="H55" s="119"/>
      <c r="J55" s="5"/>
      <c r="K55" s="5"/>
    </row>
    <row r="56" spans="1:11" ht="12.75">
      <c r="A56" s="87"/>
      <c r="B56" s="64" t="s">
        <v>514</v>
      </c>
      <c r="C56" s="64" t="s">
        <v>614</v>
      </c>
      <c r="D56" s="124">
        <v>13</v>
      </c>
      <c r="E56" s="57">
        <v>2112</v>
      </c>
      <c r="F56" s="5">
        <v>12</v>
      </c>
      <c r="G56" s="119"/>
      <c r="H56" s="119"/>
      <c r="J56" s="5"/>
      <c r="K56" s="5"/>
    </row>
    <row r="57" spans="1:11" ht="12.75">
      <c r="A57" s="87"/>
      <c r="B57" s="64" t="s">
        <v>85</v>
      </c>
      <c r="C57" s="64" t="s">
        <v>55</v>
      </c>
      <c r="D57" s="124">
        <v>0</v>
      </c>
      <c r="E57" s="57">
        <v>2123</v>
      </c>
      <c r="F57" s="5">
        <v>4</v>
      </c>
      <c r="G57" s="119"/>
      <c r="H57" s="119"/>
      <c r="J57" s="5"/>
      <c r="K57" s="5"/>
    </row>
    <row r="58" spans="1:11" ht="12.75">
      <c r="A58" s="87"/>
      <c r="B58" s="64" t="s">
        <v>637</v>
      </c>
      <c r="C58" s="64" t="s">
        <v>637</v>
      </c>
      <c r="D58" s="124">
        <v>8</v>
      </c>
      <c r="E58" s="57">
        <v>2130</v>
      </c>
      <c r="F58" s="5">
        <v>5</v>
      </c>
      <c r="G58" s="119"/>
      <c r="H58" s="119"/>
      <c r="J58" s="5"/>
      <c r="K58" s="5"/>
    </row>
    <row r="59" spans="1:11" ht="12.75">
      <c r="A59" s="87"/>
      <c r="B59" s="64" t="s">
        <v>648</v>
      </c>
      <c r="C59" s="64" t="s">
        <v>469</v>
      </c>
      <c r="D59" s="124">
        <v>10</v>
      </c>
      <c r="E59" s="57">
        <v>2166</v>
      </c>
      <c r="F59" s="5">
        <v>11</v>
      </c>
      <c r="G59" s="119"/>
      <c r="H59" s="119"/>
      <c r="J59" s="5"/>
      <c r="K59" s="5"/>
    </row>
    <row r="60" spans="1:11" ht="12.75">
      <c r="A60" s="87"/>
      <c r="B60" s="64" t="s">
        <v>512</v>
      </c>
      <c r="C60" s="64" t="s">
        <v>621</v>
      </c>
      <c r="D60" s="124">
        <v>12</v>
      </c>
      <c r="E60" s="57">
        <v>2251</v>
      </c>
      <c r="F60" s="5"/>
      <c r="G60" s="119">
        <v>12</v>
      </c>
      <c r="H60" s="119">
        <v>2250</v>
      </c>
      <c r="J60" s="5"/>
      <c r="K60" s="5"/>
    </row>
    <row r="61" spans="1:11" ht="12.75">
      <c r="A61" s="87"/>
      <c r="B61" s="64" t="s">
        <v>513</v>
      </c>
      <c r="C61" s="64" t="s">
        <v>611</v>
      </c>
      <c r="D61" s="118">
        <v>12</v>
      </c>
      <c r="E61" s="57">
        <v>2259</v>
      </c>
      <c r="F61" s="5">
        <v>10</v>
      </c>
      <c r="G61" s="119"/>
      <c r="H61" s="119"/>
      <c r="J61" s="5"/>
      <c r="K61" s="5"/>
    </row>
    <row r="62" spans="1:11" ht="12.75">
      <c r="A62" s="102"/>
      <c r="B62" s="64" t="s">
        <v>649</v>
      </c>
      <c r="C62" s="64" t="s">
        <v>12</v>
      </c>
      <c r="D62" s="124">
        <v>10</v>
      </c>
      <c r="E62" s="57">
        <v>2260</v>
      </c>
      <c r="F62" s="5">
        <v>9</v>
      </c>
      <c r="G62" s="119">
        <v>13</v>
      </c>
      <c r="H62" s="119">
        <v>2260</v>
      </c>
      <c r="J62" s="5"/>
      <c r="K62" s="5" t="s">
        <v>790</v>
      </c>
    </row>
    <row r="63" spans="1:11" ht="12.75">
      <c r="A63" s="126" t="s">
        <v>522</v>
      </c>
      <c r="B63" s="127" t="s">
        <v>591</v>
      </c>
      <c r="C63" s="127" t="s">
        <v>769</v>
      </c>
      <c r="D63" s="128" t="s">
        <v>484</v>
      </c>
      <c r="E63" s="129" t="s">
        <v>770</v>
      </c>
      <c r="F63" s="44"/>
      <c r="G63" s="133"/>
      <c r="H63" s="133"/>
      <c r="I63" s="134"/>
      <c r="J63" s="44"/>
      <c r="K63" s="44"/>
    </row>
    <row r="64" spans="1:11" ht="12.75">
      <c r="A64" s="87"/>
      <c r="B64" s="64" t="s">
        <v>67</v>
      </c>
      <c r="C64" s="64" t="s">
        <v>55</v>
      </c>
      <c r="D64" s="124">
        <v>0</v>
      </c>
      <c r="E64" s="57">
        <v>2105</v>
      </c>
      <c r="F64" s="5">
        <v>3</v>
      </c>
      <c r="G64" s="119">
        <v>8</v>
      </c>
      <c r="H64" s="119">
        <v>2140</v>
      </c>
      <c r="J64" s="5"/>
      <c r="K64" s="5"/>
    </row>
    <row r="65" spans="1:11" ht="12.75">
      <c r="A65" s="87"/>
      <c r="B65" s="64" t="s">
        <v>791</v>
      </c>
      <c r="C65" s="64" t="s">
        <v>55</v>
      </c>
      <c r="D65" s="124">
        <v>0</v>
      </c>
      <c r="E65" s="57">
        <v>2105</v>
      </c>
      <c r="F65" s="5">
        <v>3</v>
      </c>
      <c r="G65" s="119"/>
      <c r="H65" s="119"/>
      <c r="J65" s="5"/>
      <c r="K65" s="5"/>
    </row>
    <row r="66" spans="1:11" ht="12.75">
      <c r="A66" s="87"/>
      <c r="B66" s="64" t="s">
        <v>529</v>
      </c>
      <c r="C66" s="64" t="s">
        <v>632</v>
      </c>
      <c r="D66" s="124">
        <v>7</v>
      </c>
      <c r="E66" s="57">
        <v>2160</v>
      </c>
      <c r="F66" s="5">
        <v>4</v>
      </c>
      <c r="G66" s="119"/>
      <c r="H66" s="119"/>
      <c r="J66" s="5"/>
      <c r="K66" s="5"/>
    </row>
    <row r="67" spans="1:11" ht="12.75">
      <c r="A67" s="87"/>
      <c r="B67" s="64" t="s">
        <v>523</v>
      </c>
      <c r="C67" s="64" t="s">
        <v>611</v>
      </c>
      <c r="D67" s="124">
        <v>8</v>
      </c>
      <c r="E67" s="57">
        <v>2160</v>
      </c>
      <c r="F67" s="5">
        <v>6</v>
      </c>
      <c r="G67" s="119"/>
      <c r="H67" s="119"/>
      <c r="J67" s="5"/>
      <c r="K67" s="5"/>
    </row>
    <row r="68" spans="1:11" ht="12.75">
      <c r="A68" s="87"/>
      <c r="B68" s="64" t="s">
        <v>536</v>
      </c>
      <c r="C68" s="64" t="s">
        <v>12</v>
      </c>
      <c r="D68" s="124">
        <v>8</v>
      </c>
      <c r="E68" s="57">
        <v>2160</v>
      </c>
      <c r="F68" s="5">
        <v>5</v>
      </c>
      <c r="G68" s="119"/>
      <c r="H68" s="119"/>
      <c r="J68" s="5"/>
      <c r="K68" s="5"/>
    </row>
    <row r="69" spans="1:11" ht="12.75">
      <c r="A69" s="87"/>
      <c r="B69" s="64" t="s">
        <v>666</v>
      </c>
      <c r="C69" s="64" t="s">
        <v>617</v>
      </c>
      <c r="D69" s="118" t="s">
        <v>777</v>
      </c>
      <c r="E69" s="57">
        <v>2160</v>
      </c>
      <c r="F69" s="5">
        <v>10</v>
      </c>
      <c r="G69" s="119"/>
      <c r="H69" s="119"/>
      <c r="J69" s="5"/>
      <c r="K69" s="5"/>
    </row>
    <row r="70" spans="1:11" ht="12.75">
      <c r="A70" s="87"/>
      <c r="B70" s="64" t="s">
        <v>664</v>
      </c>
      <c r="C70" s="64" t="s">
        <v>469</v>
      </c>
      <c r="D70" s="124">
        <v>6</v>
      </c>
      <c r="E70" s="57">
        <v>2165</v>
      </c>
      <c r="F70" s="5"/>
      <c r="G70" s="119"/>
      <c r="H70" s="119"/>
      <c r="I70" t="s">
        <v>774</v>
      </c>
      <c r="J70" s="5"/>
      <c r="K70" s="5"/>
    </row>
    <row r="71" spans="1:11" ht="12.75">
      <c r="A71" s="87"/>
      <c r="B71" s="64" t="s">
        <v>531</v>
      </c>
      <c r="C71" s="64" t="s">
        <v>12</v>
      </c>
      <c r="D71" s="124">
        <v>8</v>
      </c>
      <c r="E71" s="57">
        <v>2190</v>
      </c>
      <c r="F71" s="5">
        <v>6</v>
      </c>
      <c r="G71" s="119">
        <v>9</v>
      </c>
      <c r="H71" s="119">
        <v>2180</v>
      </c>
      <c r="J71" s="5"/>
      <c r="K71" s="5"/>
    </row>
    <row r="72" spans="1:11" ht="12.75">
      <c r="A72" s="87"/>
      <c r="B72" s="64" t="s">
        <v>532</v>
      </c>
      <c r="C72" s="64" t="s">
        <v>12</v>
      </c>
      <c r="D72" s="124">
        <v>8</v>
      </c>
      <c r="E72" s="57">
        <v>2190</v>
      </c>
      <c r="F72" s="5">
        <v>6</v>
      </c>
      <c r="G72" s="119"/>
      <c r="H72" s="119"/>
      <c r="J72" s="5"/>
      <c r="K72" s="5"/>
    </row>
    <row r="73" spans="1:11" ht="12.75">
      <c r="A73" s="87"/>
      <c r="B73" s="64" t="s">
        <v>656</v>
      </c>
      <c r="C73" s="64" t="s">
        <v>611</v>
      </c>
      <c r="D73" s="124">
        <v>14</v>
      </c>
      <c r="E73" s="57">
        <v>2190</v>
      </c>
      <c r="F73" s="5">
        <v>11</v>
      </c>
      <c r="G73" s="119"/>
      <c r="H73" s="119"/>
      <c r="I73" t="s">
        <v>778</v>
      </c>
      <c r="J73" s="5"/>
      <c r="K73" s="5"/>
    </row>
    <row r="74" spans="1:11" ht="12.75">
      <c r="A74" s="87"/>
      <c r="B74" s="64" t="s">
        <v>652</v>
      </c>
      <c r="C74" s="64" t="s">
        <v>621</v>
      </c>
      <c r="D74" s="124">
        <v>8</v>
      </c>
      <c r="E74" s="57">
        <v>2196</v>
      </c>
      <c r="F74" s="5"/>
      <c r="G74" s="119"/>
      <c r="H74" s="119"/>
      <c r="J74" s="5"/>
      <c r="K74" s="5"/>
    </row>
    <row r="75" spans="1:11" ht="12.75">
      <c r="A75" s="87"/>
      <c r="B75" s="64" t="s">
        <v>535</v>
      </c>
      <c r="C75" s="64" t="s">
        <v>611</v>
      </c>
      <c r="D75" s="124">
        <v>8</v>
      </c>
      <c r="E75" s="57">
        <v>2201</v>
      </c>
      <c r="F75" s="5">
        <v>7</v>
      </c>
      <c r="G75" s="119"/>
      <c r="H75" s="119"/>
      <c r="J75" s="5"/>
      <c r="K75" s="5"/>
    </row>
    <row r="76" spans="1:11" ht="12.75">
      <c r="A76" s="87"/>
      <c r="B76" s="64" t="s">
        <v>525</v>
      </c>
      <c r="C76" s="64" t="s">
        <v>469</v>
      </c>
      <c r="D76" s="124">
        <v>10</v>
      </c>
      <c r="E76" s="57">
        <v>2202</v>
      </c>
      <c r="F76" s="5"/>
      <c r="G76" s="119">
        <v>10</v>
      </c>
      <c r="H76" s="119">
        <v>2202</v>
      </c>
      <c r="J76" s="5"/>
      <c r="K76" s="5"/>
    </row>
    <row r="77" spans="1:11" ht="12.75">
      <c r="A77" s="87"/>
      <c r="B77" s="64" t="s">
        <v>534</v>
      </c>
      <c r="C77" s="64" t="s">
        <v>621</v>
      </c>
      <c r="D77" s="124">
        <v>10</v>
      </c>
      <c r="E77" s="57">
        <v>2202</v>
      </c>
      <c r="F77" s="5"/>
      <c r="G77" s="119"/>
      <c r="H77" s="119"/>
      <c r="J77" s="5"/>
      <c r="K77" s="5"/>
    </row>
    <row r="78" spans="1:11" ht="12.75">
      <c r="A78" s="87"/>
      <c r="B78" s="64" t="s">
        <v>68</v>
      </c>
      <c r="C78" s="64" t="s">
        <v>55</v>
      </c>
      <c r="D78" s="124">
        <v>0</v>
      </c>
      <c r="E78" s="57">
        <v>2202</v>
      </c>
      <c r="F78" s="5">
        <v>3</v>
      </c>
      <c r="G78" s="119"/>
      <c r="H78" s="119"/>
      <c r="J78" s="5"/>
      <c r="K78" s="5"/>
    </row>
    <row r="79" spans="1:11" ht="12.75">
      <c r="A79" s="87"/>
      <c r="B79" s="64" t="s">
        <v>662</v>
      </c>
      <c r="C79" s="64" t="s">
        <v>617</v>
      </c>
      <c r="D79" s="124">
        <v>10</v>
      </c>
      <c r="E79" s="57">
        <v>2208</v>
      </c>
      <c r="F79" s="5">
        <v>12</v>
      </c>
      <c r="G79" s="119"/>
      <c r="H79" s="119"/>
      <c r="J79" s="5"/>
      <c r="K79" s="5"/>
    </row>
    <row r="80" spans="1:11" ht="12.75">
      <c r="A80" s="87"/>
      <c r="B80" s="64" t="s">
        <v>533</v>
      </c>
      <c r="C80" s="64" t="s">
        <v>614</v>
      </c>
      <c r="D80" s="124">
        <v>10</v>
      </c>
      <c r="E80" s="57">
        <v>2215</v>
      </c>
      <c r="F80" s="5">
        <v>11</v>
      </c>
      <c r="G80" s="119"/>
      <c r="H80" s="119"/>
      <c r="J80" s="5"/>
      <c r="K80" s="5"/>
    </row>
    <row r="81" spans="1:11" ht="12.75">
      <c r="A81" s="87"/>
      <c r="B81" s="64" t="s">
        <v>530</v>
      </c>
      <c r="C81" s="64" t="s">
        <v>611</v>
      </c>
      <c r="D81" s="124">
        <v>8</v>
      </c>
      <c r="E81" s="57">
        <v>2218</v>
      </c>
      <c r="F81" s="5"/>
      <c r="G81" s="119"/>
      <c r="H81" s="119"/>
      <c r="J81" s="5"/>
      <c r="K81" s="5"/>
    </row>
    <row r="82" spans="1:11" ht="12.75">
      <c r="A82" s="87"/>
      <c r="B82" s="64" t="s">
        <v>1003</v>
      </c>
      <c r="C82" s="64" t="s">
        <v>12</v>
      </c>
      <c r="D82" s="124">
        <v>8</v>
      </c>
      <c r="E82" s="57">
        <v>2236</v>
      </c>
      <c r="F82" s="5">
        <v>7</v>
      </c>
      <c r="G82" s="119"/>
      <c r="H82" s="119"/>
      <c r="J82" s="5"/>
      <c r="K82" s="5"/>
    </row>
    <row r="83" spans="1:11" ht="12.75">
      <c r="A83" s="87"/>
      <c r="B83" s="64" t="s">
        <v>528</v>
      </c>
      <c r="C83" s="64" t="s">
        <v>611</v>
      </c>
      <c r="D83" s="124">
        <v>9</v>
      </c>
      <c r="E83" s="57">
        <v>2241</v>
      </c>
      <c r="F83" s="5">
        <v>8</v>
      </c>
      <c r="G83" s="119"/>
      <c r="H83" s="119"/>
      <c r="J83" s="5"/>
      <c r="K83" s="5"/>
    </row>
    <row r="84" spans="1:11" ht="12.75">
      <c r="A84" s="87"/>
      <c r="B84" s="64" t="s">
        <v>928</v>
      </c>
      <c r="C84" s="64" t="s">
        <v>611</v>
      </c>
      <c r="D84" s="124">
        <v>8</v>
      </c>
      <c r="E84" s="57">
        <v>2252</v>
      </c>
      <c r="F84" s="5"/>
      <c r="G84" s="119"/>
      <c r="H84" s="119"/>
      <c r="J84" s="5"/>
      <c r="K84" s="5"/>
    </row>
    <row r="85" spans="1:11" ht="12.75">
      <c r="A85" s="87"/>
      <c r="B85" s="64" t="s">
        <v>792</v>
      </c>
      <c r="C85" s="64" t="s">
        <v>55</v>
      </c>
      <c r="D85" s="124">
        <v>0</v>
      </c>
      <c r="E85" s="57">
        <v>2257</v>
      </c>
      <c r="F85" s="5">
        <v>3</v>
      </c>
      <c r="G85" s="119"/>
      <c r="H85" s="119"/>
      <c r="J85" s="5"/>
      <c r="K85" s="5"/>
    </row>
    <row r="86" spans="1:11" ht="12.75">
      <c r="A86" s="87"/>
      <c r="B86" s="64" t="s">
        <v>527</v>
      </c>
      <c r="C86" s="64" t="s">
        <v>611</v>
      </c>
      <c r="D86" s="124">
        <v>9</v>
      </c>
      <c r="E86" s="57">
        <v>2249</v>
      </c>
      <c r="F86" s="5">
        <v>8</v>
      </c>
      <c r="G86" s="119"/>
      <c r="H86" s="119"/>
      <c r="J86" s="5"/>
      <c r="K86" s="5"/>
    </row>
    <row r="87" spans="1:11" ht="12.75">
      <c r="A87" s="87"/>
      <c r="B87" s="64" t="s">
        <v>526</v>
      </c>
      <c r="C87" s="64" t="s">
        <v>469</v>
      </c>
      <c r="D87" s="124">
        <v>10</v>
      </c>
      <c r="E87" s="57">
        <v>2258</v>
      </c>
      <c r="F87" s="5">
        <v>12</v>
      </c>
      <c r="G87" s="119"/>
      <c r="H87" s="119"/>
      <c r="I87" t="s">
        <v>778</v>
      </c>
      <c r="J87" s="5"/>
      <c r="K87" s="5"/>
    </row>
    <row r="88" spans="1:11" ht="12.75">
      <c r="A88" s="87"/>
      <c r="B88" s="64" t="s">
        <v>75</v>
      </c>
      <c r="C88" s="64" t="s">
        <v>55</v>
      </c>
      <c r="D88" s="124">
        <v>0</v>
      </c>
      <c r="E88" s="57">
        <v>2258</v>
      </c>
      <c r="F88" s="5">
        <v>4</v>
      </c>
      <c r="G88" s="119"/>
      <c r="H88" s="119"/>
      <c r="J88" s="5"/>
      <c r="K88" s="5"/>
    </row>
    <row r="89" spans="1:11" ht="12.75">
      <c r="A89" s="87"/>
      <c r="B89" s="64" t="s">
        <v>1004</v>
      </c>
      <c r="C89" s="64" t="s">
        <v>611</v>
      </c>
      <c r="D89" s="124">
        <v>8</v>
      </c>
      <c r="E89" s="57">
        <v>2259</v>
      </c>
      <c r="F89" s="5"/>
      <c r="G89" s="119"/>
      <c r="H89" s="119"/>
      <c r="J89" s="5"/>
      <c r="K89" s="5"/>
    </row>
    <row r="90" spans="1:11" ht="12.75">
      <c r="A90" s="87"/>
      <c r="B90" s="64" t="s">
        <v>901</v>
      </c>
      <c r="C90" s="64" t="s">
        <v>611</v>
      </c>
      <c r="D90" s="124">
        <v>9</v>
      </c>
      <c r="E90" s="57">
        <v>2260</v>
      </c>
      <c r="F90" s="5">
        <v>8</v>
      </c>
      <c r="G90" s="119"/>
      <c r="H90" s="119"/>
      <c r="J90" s="5"/>
      <c r="K90" s="5"/>
    </row>
    <row r="91" spans="1:11" ht="12.75">
      <c r="A91" s="126" t="s">
        <v>537</v>
      </c>
      <c r="B91" s="127" t="s">
        <v>591</v>
      </c>
      <c r="C91" s="127" t="s">
        <v>769</v>
      </c>
      <c r="D91" s="128" t="s">
        <v>484</v>
      </c>
      <c r="E91" s="129" t="s">
        <v>770</v>
      </c>
      <c r="F91" s="44"/>
      <c r="G91" s="133"/>
      <c r="H91" s="133"/>
      <c r="I91" s="134"/>
      <c r="J91" s="44"/>
      <c r="K91" s="44"/>
    </row>
    <row r="92" spans="1:11" ht="12.75">
      <c r="A92" s="87"/>
      <c r="B92" s="64" t="s">
        <v>59</v>
      </c>
      <c r="C92" s="64" t="s">
        <v>55</v>
      </c>
      <c r="D92" s="124">
        <v>0</v>
      </c>
      <c r="E92" s="57">
        <v>2210</v>
      </c>
      <c r="F92" s="5">
        <v>2</v>
      </c>
      <c r="G92" s="119">
        <v>7</v>
      </c>
      <c r="H92" s="119">
        <v>2180</v>
      </c>
      <c r="J92" s="5"/>
      <c r="K92" s="5"/>
    </row>
    <row r="93" spans="1:11" ht="12.75">
      <c r="A93" s="87"/>
      <c r="B93" s="64" t="s">
        <v>1005</v>
      </c>
      <c r="C93" s="64" t="s">
        <v>611</v>
      </c>
      <c r="D93" s="124">
        <v>7</v>
      </c>
      <c r="E93" s="57">
        <v>2211</v>
      </c>
      <c r="F93" s="5"/>
      <c r="G93" s="119">
        <v>8</v>
      </c>
      <c r="H93" s="119">
        <v>2211</v>
      </c>
      <c r="J93" s="5"/>
      <c r="K93" s="5"/>
    </row>
    <row r="94" spans="1:11" ht="12.75">
      <c r="A94" s="87"/>
      <c r="B94" s="64" t="s">
        <v>1014</v>
      </c>
      <c r="C94" s="64" t="s">
        <v>12</v>
      </c>
      <c r="D94" s="124">
        <v>6</v>
      </c>
      <c r="E94" s="57">
        <v>2213</v>
      </c>
      <c r="F94" s="5"/>
      <c r="G94" s="119"/>
      <c r="H94" s="119"/>
      <c r="J94" s="5"/>
      <c r="K94" s="5"/>
    </row>
    <row r="95" spans="1:11" ht="12.75">
      <c r="A95" s="87"/>
      <c r="B95" s="64" t="s">
        <v>540</v>
      </c>
      <c r="C95" s="64" t="s">
        <v>12</v>
      </c>
      <c r="D95" s="124">
        <v>7</v>
      </c>
      <c r="E95" s="57">
        <v>2215</v>
      </c>
      <c r="F95" s="5">
        <v>5</v>
      </c>
      <c r="J95" s="5"/>
      <c r="K95" s="5"/>
    </row>
    <row r="96" spans="1:11" ht="12.75">
      <c r="A96" s="87"/>
      <c r="B96" s="64" t="s">
        <v>673</v>
      </c>
      <c r="C96" s="64" t="s">
        <v>12</v>
      </c>
      <c r="D96" s="124">
        <v>6</v>
      </c>
      <c r="E96" s="57">
        <v>2240</v>
      </c>
      <c r="F96" s="5">
        <v>5</v>
      </c>
      <c r="G96" s="119"/>
      <c r="H96" s="119"/>
      <c r="J96" s="5"/>
      <c r="K96" s="5"/>
    </row>
    <row r="97" spans="1:11" ht="12.75">
      <c r="A97" s="87"/>
      <c r="B97" s="64" t="s">
        <v>680</v>
      </c>
      <c r="C97" s="64" t="s">
        <v>632</v>
      </c>
      <c r="D97" s="124">
        <v>6</v>
      </c>
      <c r="E97" s="57">
        <v>2240</v>
      </c>
      <c r="F97" s="5">
        <v>4</v>
      </c>
      <c r="G97" s="119"/>
      <c r="H97" s="119"/>
      <c r="J97" s="5"/>
      <c r="K97" s="5"/>
    </row>
    <row r="98" spans="1:11" ht="12.75">
      <c r="A98" s="87"/>
      <c r="B98" s="64" t="s">
        <v>677</v>
      </c>
      <c r="C98" s="64" t="s">
        <v>611</v>
      </c>
      <c r="D98" s="124">
        <v>7</v>
      </c>
      <c r="E98" s="57">
        <v>2240</v>
      </c>
      <c r="F98" s="5">
        <v>6</v>
      </c>
      <c r="G98" s="119"/>
      <c r="H98" s="119"/>
      <c r="J98" s="5"/>
      <c r="K98" s="5"/>
    </row>
    <row r="99" spans="1:11" ht="12.75">
      <c r="A99" s="87"/>
      <c r="B99" s="64" t="s">
        <v>679</v>
      </c>
      <c r="C99" s="64" t="s">
        <v>611</v>
      </c>
      <c r="D99" s="124">
        <v>10</v>
      </c>
      <c r="E99" s="57">
        <v>2240</v>
      </c>
      <c r="F99" s="5"/>
      <c r="G99" s="119"/>
      <c r="H99" s="119"/>
      <c r="I99" t="s">
        <v>778</v>
      </c>
      <c r="J99" s="5"/>
      <c r="K99" s="5"/>
    </row>
    <row r="100" spans="1:11" ht="12.75">
      <c r="A100" s="87"/>
      <c r="B100" s="64" t="s">
        <v>539</v>
      </c>
      <c r="C100" s="64" t="s">
        <v>611</v>
      </c>
      <c r="D100" s="124">
        <v>7</v>
      </c>
      <c r="E100" s="57">
        <v>2241</v>
      </c>
      <c r="F100" s="5"/>
      <c r="G100" s="119"/>
      <c r="H100" s="119"/>
      <c r="J100" s="5"/>
      <c r="K100" s="5"/>
    </row>
    <row r="101" spans="1:11" ht="25.5">
      <c r="A101" s="87"/>
      <c r="B101" s="64" t="s">
        <v>682</v>
      </c>
      <c r="C101" s="64" t="s">
        <v>621</v>
      </c>
      <c r="D101" s="124">
        <v>7</v>
      </c>
      <c r="E101" s="57">
        <v>2241</v>
      </c>
      <c r="F101" s="5"/>
      <c r="G101" s="119"/>
      <c r="H101" s="119"/>
      <c r="J101" s="5"/>
      <c r="K101" s="5"/>
    </row>
    <row r="102" spans="1:11" ht="12.75">
      <c r="A102" s="87"/>
      <c r="B102" s="64" t="s">
        <v>683</v>
      </c>
      <c r="C102" s="64" t="s">
        <v>469</v>
      </c>
      <c r="D102" s="124">
        <v>9</v>
      </c>
      <c r="E102" s="57">
        <v>2241</v>
      </c>
      <c r="F102" s="5">
        <v>8</v>
      </c>
      <c r="G102" s="119"/>
      <c r="H102" s="119"/>
      <c r="J102" s="5"/>
      <c r="K102" s="5"/>
    </row>
    <row r="103" spans="1:11" ht="12.75">
      <c r="A103" s="87"/>
      <c r="B103" s="64" t="s">
        <v>670</v>
      </c>
      <c r="C103" s="64" t="s">
        <v>611</v>
      </c>
      <c r="D103" s="124">
        <v>6</v>
      </c>
      <c r="E103" s="57">
        <v>2242</v>
      </c>
      <c r="F103" s="5">
        <v>5</v>
      </c>
      <c r="G103" s="119"/>
      <c r="H103" s="119"/>
      <c r="J103" s="5"/>
      <c r="K103" s="5"/>
    </row>
    <row r="104" spans="1:11" ht="12.75">
      <c r="A104" s="87"/>
      <c r="B104" s="64" t="s">
        <v>675</v>
      </c>
      <c r="C104" s="64" t="s">
        <v>469</v>
      </c>
      <c r="D104" s="124">
        <v>8</v>
      </c>
      <c r="E104" s="57">
        <v>2242</v>
      </c>
      <c r="F104" s="5"/>
      <c r="G104" s="119"/>
      <c r="H104" s="119"/>
      <c r="J104" s="5"/>
      <c r="K104" s="5"/>
    </row>
    <row r="105" spans="1:11" ht="12.75">
      <c r="A105" s="87"/>
      <c r="B105" s="64" t="s">
        <v>672</v>
      </c>
      <c r="C105" s="64" t="s">
        <v>614</v>
      </c>
      <c r="D105" s="124">
        <v>10</v>
      </c>
      <c r="E105" s="57">
        <v>2245</v>
      </c>
      <c r="F105" s="5"/>
      <c r="G105" s="119">
        <v>9</v>
      </c>
      <c r="H105" s="119">
        <v>2245</v>
      </c>
      <c r="J105" s="5"/>
      <c r="K105" s="5"/>
    </row>
    <row r="106" spans="1:11" ht="12.75">
      <c r="A106" s="87"/>
      <c r="B106" s="64" t="s">
        <v>542</v>
      </c>
      <c r="C106" s="64" t="s">
        <v>621</v>
      </c>
      <c r="D106" s="124">
        <v>7</v>
      </c>
      <c r="E106" s="57">
        <v>2247</v>
      </c>
      <c r="F106" s="5">
        <v>8</v>
      </c>
      <c r="G106" s="119"/>
      <c r="H106" s="119"/>
      <c r="J106" s="5"/>
      <c r="K106" s="5"/>
    </row>
    <row r="107" spans="1:11" ht="12.75">
      <c r="A107" s="87"/>
      <c r="B107" s="64" t="s">
        <v>538</v>
      </c>
      <c r="C107" s="64" t="s">
        <v>611</v>
      </c>
      <c r="D107" s="124">
        <v>7</v>
      </c>
      <c r="E107" s="57">
        <v>2248</v>
      </c>
      <c r="F107" s="5">
        <v>7</v>
      </c>
      <c r="G107" s="119"/>
      <c r="H107" s="119"/>
      <c r="J107" s="5"/>
      <c r="K107" s="5"/>
    </row>
    <row r="108" spans="1:11" ht="12.75">
      <c r="A108" s="87"/>
      <c r="B108" s="64" t="s">
        <v>88</v>
      </c>
      <c r="C108" s="64" t="s">
        <v>55</v>
      </c>
      <c r="D108" s="124">
        <v>0</v>
      </c>
      <c r="E108" s="57">
        <v>2249</v>
      </c>
      <c r="F108" s="5">
        <v>3</v>
      </c>
      <c r="G108" s="119"/>
      <c r="H108" s="119"/>
      <c r="J108" s="5"/>
      <c r="K108" s="5"/>
    </row>
    <row r="109" spans="1:11" ht="12.75">
      <c r="A109" s="87"/>
      <c r="B109" s="64" t="s">
        <v>674</v>
      </c>
      <c r="C109" s="64" t="s">
        <v>469</v>
      </c>
      <c r="D109" s="124">
        <v>8</v>
      </c>
      <c r="E109" s="57">
        <v>2253</v>
      </c>
      <c r="F109" s="5">
        <v>9</v>
      </c>
      <c r="G109" s="119"/>
      <c r="H109" s="119"/>
      <c r="J109" s="5"/>
      <c r="K109" s="5"/>
    </row>
    <row r="110" spans="1:11" ht="12.75">
      <c r="A110" s="87"/>
      <c r="B110" s="64" t="s">
        <v>1006</v>
      </c>
      <c r="C110" s="64" t="s">
        <v>469</v>
      </c>
      <c r="D110" s="124">
        <v>8</v>
      </c>
      <c r="E110" s="57">
        <v>2260</v>
      </c>
      <c r="F110" s="5">
        <v>9</v>
      </c>
      <c r="G110" s="119"/>
      <c r="H110" s="119"/>
      <c r="J110" s="5"/>
      <c r="K110" s="5"/>
    </row>
    <row r="111" spans="1:11" ht="12.75">
      <c r="A111" s="87"/>
      <c r="B111" s="64" t="s">
        <v>676</v>
      </c>
      <c r="C111" s="64" t="s">
        <v>469</v>
      </c>
      <c r="D111" s="124">
        <v>8</v>
      </c>
      <c r="E111" s="57">
        <v>2260</v>
      </c>
      <c r="F111" s="5">
        <v>9</v>
      </c>
      <c r="G111" s="119"/>
      <c r="H111" s="119"/>
      <c r="J111" s="5"/>
      <c r="K111" s="5"/>
    </row>
    <row r="112" spans="1:11" ht="12.75">
      <c r="A112" s="126" t="s">
        <v>543</v>
      </c>
      <c r="B112" s="127" t="s">
        <v>591</v>
      </c>
      <c r="C112" s="127" t="s">
        <v>769</v>
      </c>
      <c r="D112" s="128" t="s">
        <v>484</v>
      </c>
      <c r="E112" s="129" t="s">
        <v>770</v>
      </c>
      <c r="F112" s="44"/>
      <c r="G112" s="133"/>
      <c r="H112" s="133"/>
      <c r="I112" s="134"/>
      <c r="J112" s="44"/>
      <c r="K112" s="44"/>
    </row>
    <row r="113" spans="1:11" ht="12.75">
      <c r="A113" s="102" t="s">
        <v>639</v>
      </c>
      <c r="B113" s="64" t="s">
        <v>553</v>
      </c>
      <c r="C113" s="64" t="s">
        <v>611</v>
      </c>
      <c r="D113" s="118">
        <v>8</v>
      </c>
      <c r="E113" s="57">
        <v>2198</v>
      </c>
      <c r="F113" s="5">
        <v>7</v>
      </c>
      <c r="G113" s="119">
        <v>8</v>
      </c>
      <c r="H113" s="119">
        <v>2150</v>
      </c>
      <c r="J113" s="5"/>
      <c r="K113" s="5"/>
    </row>
    <row r="114" spans="1:11" ht="12.75">
      <c r="A114" s="102" t="s">
        <v>685</v>
      </c>
      <c r="B114" s="64" t="s">
        <v>544</v>
      </c>
      <c r="C114" s="64" t="s">
        <v>469</v>
      </c>
      <c r="D114" s="124">
        <v>8</v>
      </c>
      <c r="E114" s="57">
        <v>2204</v>
      </c>
      <c r="F114" s="5"/>
      <c r="G114" s="119"/>
      <c r="H114" s="119"/>
      <c r="J114" s="5"/>
      <c r="K114" s="5"/>
    </row>
    <row r="115" spans="1:11" ht="12.75">
      <c r="A115" s="102"/>
      <c r="B115" s="64" t="s">
        <v>69</v>
      </c>
      <c r="C115" s="64" t="s">
        <v>55</v>
      </c>
      <c r="D115" s="124">
        <v>0</v>
      </c>
      <c r="E115" s="57">
        <v>2228</v>
      </c>
      <c r="F115" s="5">
        <v>2</v>
      </c>
      <c r="G115" s="119"/>
      <c r="H115" s="119"/>
      <c r="J115" s="5"/>
      <c r="K115" s="5" t="s">
        <v>963</v>
      </c>
    </row>
    <row r="116" spans="1:11" ht="12.75">
      <c r="A116" s="102"/>
      <c r="B116" s="64" t="s">
        <v>63</v>
      </c>
      <c r="C116" s="64" t="s">
        <v>793</v>
      </c>
      <c r="D116" s="124">
        <v>0</v>
      </c>
      <c r="E116" s="57">
        <v>2228</v>
      </c>
      <c r="F116" s="5">
        <v>3</v>
      </c>
      <c r="G116" s="119"/>
      <c r="H116" s="119"/>
      <c r="J116" s="5"/>
      <c r="K116" s="5"/>
    </row>
    <row r="117" spans="1:11" ht="12.75">
      <c r="A117" s="87"/>
      <c r="B117" s="64" t="s">
        <v>548</v>
      </c>
      <c r="C117" s="64" t="s">
        <v>469</v>
      </c>
      <c r="D117" s="124">
        <v>8</v>
      </c>
      <c r="E117" s="57">
        <v>2230</v>
      </c>
      <c r="F117" s="5"/>
      <c r="G117" s="119"/>
      <c r="H117" s="119"/>
      <c r="J117" s="5"/>
      <c r="K117" s="5"/>
    </row>
    <row r="118" spans="1:11" ht="12.75">
      <c r="A118" s="87"/>
      <c r="B118" s="64" t="s">
        <v>545</v>
      </c>
      <c r="C118" s="64" t="s">
        <v>611</v>
      </c>
      <c r="D118" s="124">
        <v>8</v>
      </c>
      <c r="E118" s="57">
        <v>2232</v>
      </c>
      <c r="F118" s="5">
        <v>7</v>
      </c>
      <c r="G118" s="119"/>
      <c r="H118" s="119"/>
      <c r="J118" s="5"/>
      <c r="K118" s="5"/>
    </row>
    <row r="119" spans="1:11" ht="12.75">
      <c r="A119" s="87"/>
      <c r="B119" s="64" t="s">
        <v>554</v>
      </c>
      <c r="C119" s="64" t="s">
        <v>469</v>
      </c>
      <c r="D119" s="118">
        <v>8</v>
      </c>
      <c r="E119" s="57">
        <v>2237</v>
      </c>
      <c r="F119" s="5"/>
      <c r="G119" s="119"/>
      <c r="H119" s="119"/>
      <c r="J119" s="5"/>
      <c r="K119" s="5"/>
    </row>
    <row r="120" spans="1:11" ht="12.75">
      <c r="A120" s="87"/>
      <c r="B120" s="64" t="s">
        <v>547</v>
      </c>
      <c r="C120" s="64" t="s">
        <v>469</v>
      </c>
      <c r="D120" s="124">
        <v>8</v>
      </c>
      <c r="E120" s="57">
        <v>2246</v>
      </c>
      <c r="F120" s="5"/>
      <c r="G120" s="119"/>
      <c r="H120" s="119"/>
      <c r="J120" s="5"/>
      <c r="K120" s="5"/>
    </row>
    <row r="121" spans="1:11" ht="12.75">
      <c r="A121" s="87"/>
      <c r="B121" s="64" t="s">
        <v>551</v>
      </c>
      <c r="C121" s="64" t="s">
        <v>12</v>
      </c>
      <c r="D121" s="124">
        <v>7</v>
      </c>
      <c r="E121" s="57">
        <v>2250</v>
      </c>
      <c r="F121" s="5">
        <v>5</v>
      </c>
      <c r="G121" s="119"/>
      <c r="H121" s="119"/>
      <c r="J121" s="5"/>
      <c r="K121" s="5"/>
    </row>
    <row r="122" spans="1:11" ht="12.75">
      <c r="A122" s="87"/>
      <c r="B122" s="64" t="s">
        <v>549</v>
      </c>
      <c r="C122" s="64" t="s">
        <v>469</v>
      </c>
      <c r="D122" s="124">
        <v>10</v>
      </c>
      <c r="E122" s="57">
        <v>2252</v>
      </c>
      <c r="F122" s="5"/>
      <c r="G122" s="119">
        <v>10</v>
      </c>
      <c r="H122" s="119">
        <v>2251</v>
      </c>
      <c r="I122" t="s">
        <v>794</v>
      </c>
      <c r="J122" s="5"/>
      <c r="K122" s="5"/>
    </row>
    <row r="123" spans="1:11" ht="12.75">
      <c r="A123" s="87"/>
      <c r="B123" s="64" t="s">
        <v>552</v>
      </c>
      <c r="C123" s="64" t="s">
        <v>12</v>
      </c>
      <c r="D123" s="124">
        <v>7</v>
      </c>
      <c r="E123" s="57">
        <v>2257</v>
      </c>
      <c r="F123" s="5">
        <v>6</v>
      </c>
      <c r="G123" s="119"/>
      <c r="H123" s="119"/>
      <c r="J123" s="5"/>
      <c r="K123" s="5"/>
    </row>
    <row r="124" spans="1:11" ht="12.75">
      <c r="A124" s="87"/>
      <c r="B124" s="64" t="s">
        <v>546</v>
      </c>
      <c r="C124" s="64" t="s">
        <v>621</v>
      </c>
      <c r="D124" s="124">
        <v>8</v>
      </c>
      <c r="E124" s="57">
        <v>2258</v>
      </c>
      <c r="F124" s="5">
        <v>9</v>
      </c>
      <c r="G124" s="119"/>
      <c r="H124" s="119"/>
      <c r="I124" t="s">
        <v>788</v>
      </c>
      <c r="J124" s="5"/>
      <c r="K124" s="5"/>
    </row>
    <row r="125" spans="1:11" ht="12.75">
      <c r="A125" s="87"/>
      <c r="B125" s="64" t="s">
        <v>977</v>
      </c>
      <c r="C125" s="64" t="s">
        <v>469</v>
      </c>
      <c r="D125" s="124">
        <v>8</v>
      </c>
      <c r="E125" s="57">
        <v>2260</v>
      </c>
      <c r="F125" s="5">
        <v>10</v>
      </c>
      <c r="G125" s="119"/>
      <c r="H125" s="119"/>
      <c r="J125" s="5"/>
      <c r="K125" s="5"/>
    </row>
    <row r="126" spans="1:11" ht="12.75">
      <c r="A126" s="87"/>
      <c r="B126" s="64" t="s">
        <v>550</v>
      </c>
      <c r="C126" s="64" t="s">
        <v>469</v>
      </c>
      <c r="D126" s="124">
        <v>10</v>
      </c>
      <c r="E126" s="57">
        <v>2264</v>
      </c>
      <c r="F126" s="5"/>
      <c r="G126" s="119"/>
      <c r="H126" s="119"/>
      <c r="J126" s="5"/>
      <c r="K126" s="5"/>
    </row>
    <row r="127" spans="1:11" ht="12.75">
      <c r="A127" s="87"/>
      <c r="B127" s="64"/>
      <c r="C127" s="64"/>
      <c r="D127" s="118"/>
      <c r="E127" s="57"/>
      <c r="F127" s="5"/>
      <c r="G127" s="119"/>
      <c r="H127" s="119"/>
      <c r="J127" s="5"/>
      <c r="K127" s="5"/>
    </row>
    <row r="128" spans="1:11" ht="12.75">
      <c r="A128" s="126" t="s">
        <v>555</v>
      </c>
      <c r="B128" s="127" t="s">
        <v>591</v>
      </c>
      <c r="C128" s="127" t="s">
        <v>769</v>
      </c>
      <c r="D128" s="128" t="s">
        <v>484</v>
      </c>
      <c r="E128" s="129" t="s">
        <v>770</v>
      </c>
      <c r="F128" s="44"/>
      <c r="G128" s="133"/>
      <c r="H128" s="133"/>
      <c r="I128" s="134"/>
      <c r="J128" s="44"/>
      <c r="K128" s="44"/>
    </row>
    <row r="129" spans="1:11" ht="12.75">
      <c r="A129" s="65"/>
      <c r="B129" s="135" t="s">
        <v>560</v>
      </c>
      <c r="C129" s="135"/>
      <c r="D129" s="124">
        <v>6</v>
      </c>
      <c r="E129" s="136">
        <v>2095</v>
      </c>
      <c r="F129" s="136">
        <v>4</v>
      </c>
      <c r="G129" s="137">
        <v>6</v>
      </c>
      <c r="H129" s="137">
        <v>2050</v>
      </c>
      <c r="I129" s="135"/>
      <c r="J129" s="136"/>
      <c r="K129" s="136"/>
    </row>
    <row r="130" spans="1:11" ht="12.75">
      <c r="A130" s="87"/>
      <c r="B130" s="64" t="s">
        <v>557</v>
      </c>
      <c r="C130" s="64" t="s">
        <v>611</v>
      </c>
      <c r="D130" s="124">
        <v>8</v>
      </c>
      <c r="E130" s="57">
        <v>2103</v>
      </c>
      <c r="F130" s="5">
        <v>6</v>
      </c>
      <c r="G130" s="119">
        <v>7</v>
      </c>
      <c r="H130" s="119">
        <v>2100</v>
      </c>
      <c r="J130" s="5"/>
      <c r="K130" s="5"/>
    </row>
    <row r="131" spans="1:11" ht="12.75">
      <c r="A131" s="102"/>
      <c r="B131" s="64" t="s">
        <v>66</v>
      </c>
      <c r="C131" s="64" t="s">
        <v>55</v>
      </c>
      <c r="D131" s="124">
        <v>0</v>
      </c>
      <c r="E131" s="57">
        <v>2110</v>
      </c>
      <c r="F131" s="5">
        <v>2</v>
      </c>
      <c r="G131" s="119"/>
      <c r="H131" s="119"/>
      <c r="J131" s="5"/>
      <c r="K131" s="5"/>
    </row>
    <row r="132" spans="1:11" ht="12.75">
      <c r="A132" s="87"/>
      <c r="B132" s="64" t="s">
        <v>558</v>
      </c>
      <c r="C132" s="64" t="s">
        <v>611</v>
      </c>
      <c r="D132" s="118">
        <v>8</v>
      </c>
      <c r="E132" s="57">
        <v>2198</v>
      </c>
      <c r="F132" s="5">
        <v>6</v>
      </c>
      <c r="G132" s="119"/>
      <c r="H132" s="119"/>
      <c r="J132" s="5"/>
      <c r="K132" s="5"/>
    </row>
    <row r="133" spans="1:11" ht="12.75">
      <c r="A133" s="87"/>
      <c r="B133" s="64" t="s">
        <v>559</v>
      </c>
      <c r="C133" s="64" t="s">
        <v>611</v>
      </c>
      <c r="D133" s="118">
        <v>8</v>
      </c>
      <c r="E133" s="57">
        <v>2198</v>
      </c>
      <c r="F133" s="5">
        <v>6</v>
      </c>
      <c r="G133" s="119"/>
      <c r="H133" s="119"/>
      <c r="J133" s="5"/>
      <c r="K133" s="5"/>
    </row>
    <row r="134" spans="1:11" ht="12.75">
      <c r="A134" s="87"/>
      <c r="B134" s="64" t="s">
        <v>689</v>
      </c>
      <c r="C134" s="64" t="s">
        <v>611</v>
      </c>
      <c r="D134" s="124">
        <v>8</v>
      </c>
      <c r="E134" s="57">
        <v>2198</v>
      </c>
      <c r="F134" s="5">
        <v>6</v>
      </c>
      <c r="G134" s="119"/>
      <c r="H134" s="119"/>
      <c r="J134" s="5"/>
      <c r="K134" s="5"/>
    </row>
    <row r="135" spans="1:11" ht="12.75">
      <c r="A135" s="102"/>
      <c r="B135" s="64" t="s">
        <v>80</v>
      </c>
      <c r="C135" s="64" t="s">
        <v>793</v>
      </c>
      <c r="D135" s="124">
        <v>0</v>
      </c>
      <c r="E135" s="57">
        <v>2110</v>
      </c>
      <c r="F135" s="5">
        <v>3</v>
      </c>
      <c r="G135" s="119"/>
      <c r="H135" s="119"/>
      <c r="J135" s="5"/>
      <c r="K135" s="5"/>
    </row>
    <row r="136" spans="1:11" ht="12.75">
      <c r="A136" s="102"/>
      <c r="B136" s="64" t="s">
        <v>795</v>
      </c>
      <c r="C136" s="64" t="s">
        <v>793</v>
      </c>
      <c r="D136" s="124">
        <v>0</v>
      </c>
      <c r="E136" s="57">
        <v>2110</v>
      </c>
      <c r="F136" s="5">
        <v>3</v>
      </c>
      <c r="G136" s="119"/>
      <c r="H136" s="119"/>
      <c r="J136" s="5"/>
      <c r="K136" s="5"/>
    </row>
    <row r="137" spans="1:11" ht="12.75">
      <c r="A137" s="87"/>
      <c r="B137" s="64" t="s">
        <v>562</v>
      </c>
      <c r="C137" s="64" t="s">
        <v>611</v>
      </c>
      <c r="D137" s="118">
        <v>8</v>
      </c>
      <c r="E137" s="57">
        <v>2220</v>
      </c>
      <c r="F137" s="5">
        <v>6</v>
      </c>
      <c r="G137" s="119"/>
      <c r="H137" s="119"/>
      <c r="J137" s="5"/>
      <c r="K137" s="5"/>
    </row>
    <row r="138" spans="1:11" ht="12.75">
      <c r="A138" s="87"/>
      <c r="B138" s="64" t="s">
        <v>561</v>
      </c>
      <c r="C138" s="64" t="s">
        <v>12</v>
      </c>
      <c r="D138" s="118">
        <v>6</v>
      </c>
      <c r="E138" s="57">
        <v>2229</v>
      </c>
      <c r="F138" s="5">
        <v>4</v>
      </c>
      <c r="G138" s="119"/>
      <c r="H138" s="119"/>
      <c r="J138" s="5"/>
      <c r="K138" s="5"/>
    </row>
    <row r="139" spans="1:11" ht="12.75">
      <c r="A139" s="87"/>
      <c r="B139" s="64" t="s">
        <v>563</v>
      </c>
      <c r="C139" s="64" t="s">
        <v>469</v>
      </c>
      <c r="D139" s="118">
        <v>8</v>
      </c>
      <c r="E139" s="57">
        <v>2238</v>
      </c>
      <c r="F139" s="5"/>
      <c r="G139" s="119">
        <v>8</v>
      </c>
      <c r="H139" s="119">
        <v>2230</v>
      </c>
      <c r="J139" s="5"/>
      <c r="K139" s="5"/>
    </row>
    <row r="140" spans="1:11" ht="12.75">
      <c r="A140" s="87"/>
      <c r="B140" s="64" t="s">
        <v>688</v>
      </c>
      <c r="C140" s="64" t="s">
        <v>469</v>
      </c>
      <c r="D140" s="124">
        <v>8</v>
      </c>
      <c r="E140" s="57">
        <v>2238</v>
      </c>
      <c r="F140" s="5"/>
      <c r="G140" s="119"/>
      <c r="H140" s="119"/>
      <c r="J140" s="5"/>
      <c r="K140" s="5"/>
    </row>
    <row r="141" spans="1:11" ht="12.75">
      <c r="A141" s="87"/>
      <c r="B141" s="64" t="s">
        <v>556</v>
      </c>
      <c r="C141" s="64" t="s">
        <v>469</v>
      </c>
      <c r="D141" s="124">
        <v>9</v>
      </c>
      <c r="E141" s="57">
        <v>2255</v>
      </c>
      <c r="F141" s="5"/>
      <c r="G141" s="119">
        <v>9</v>
      </c>
      <c r="H141" s="119">
        <v>2248</v>
      </c>
      <c r="J141" s="5"/>
      <c r="K141" s="5"/>
    </row>
    <row r="142" spans="1:11" ht="12.75">
      <c r="A142" s="87"/>
      <c r="B142" s="64"/>
      <c r="C142" s="64"/>
      <c r="D142" s="118"/>
      <c r="E142" s="57"/>
      <c r="F142" s="5"/>
      <c r="G142" s="119"/>
      <c r="H142" s="119"/>
      <c r="J142" s="5"/>
      <c r="K142" s="5"/>
    </row>
    <row r="143" spans="1:11" ht="12.75">
      <c r="A143" s="126" t="s">
        <v>690</v>
      </c>
      <c r="B143" s="127" t="s">
        <v>591</v>
      </c>
      <c r="C143" s="127" t="s">
        <v>769</v>
      </c>
      <c r="D143" s="128" t="s">
        <v>484</v>
      </c>
      <c r="E143" s="129" t="s">
        <v>770</v>
      </c>
      <c r="F143" s="44"/>
      <c r="G143" s="133"/>
      <c r="H143" s="133"/>
      <c r="I143" s="134"/>
      <c r="J143" s="44"/>
      <c r="K143" s="44"/>
    </row>
    <row r="144" spans="1:11" ht="12.75">
      <c r="A144" s="87"/>
      <c r="B144" s="64" t="s">
        <v>696</v>
      </c>
      <c r="C144" s="64" t="s">
        <v>12</v>
      </c>
      <c r="D144" s="124">
        <v>5</v>
      </c>
      <c r="E144" s="57">
        <v>2156</v>
      </c>
      <c r="F144" s="5">
        <v>4</v>
      </c>
      <c r="G144" s="119">
        <v>6</v>
      </c>
      <c r="H144" s="119">
        <v>2150</v>
      </c>
      <c r="J144" s="5"/>
      <c r="K144" s="5"/>
    </row>
    <row r="145" spans="1:11" ht="12.75">
      <c r="A145" s="87"/>
      <c r="B145" s="64" t="s">
        <v>694</v>
      </c>
      <c r="C145" s="64" t="s">
        <v>469</v>
      </c>
      <c r="D145" s="118">
        <v>6</v>
      </c>
      <c r="E145" s="57">
        <v>2156</v>
      </c>
      <c r="F145" s="5"/>
      <c r="G145" s="119"/>
      <c r="H145" s="119"/>
      <c r="J145" s="5"/>
      <c r="K145" s="5"/>
    </row>
    <row r="146" spans="1:11" ht="12.75">
      <c r="A146" s="87"/>
      <c r="B146" s="64" t="s">
        <v>693</v>
      </c>
      <c r="C146" s="64" t="s">
        <v>469</v>
      </c>
      <c r="D146" s="118">
        <v>7</v>
      </c>
      <c r="E146" s="57">
        <v>2189</v>
      </c>
      <c r="F146" s="5"/>
      <c r="G146" s="119">
        <v>7</v>
      </c>
      <c r="H146" s="119">
        <v>2180</v>
      </c>
      <c r="J146" s="5"/>
      <c r="K146" s="5"/>
    </row>
    <row r="147" spans="1:11" ht="12.75">
      <c r="A147" s="102"/>
      <c r="B147" s="64" t="s">
        <v>796</v>
      </c>
      <c r="C147" s="64" t="s">
        <v>55</v>
      </c>
      <c r="D147" s="124">
        <v>0</v>
      </c>
      <c r="E147" s="57">
        <v>2189</v>
      </c>
      <c r="F147" s="5">
        <v>2</v>
      </c>
      <c r="G147" s="119"/>
      <c r="H147" s="119"/>
      <c r="J147" s="5"/>
      <c r="K147" s="5"/>
    </row>
    <row r="148" spans="1:11" ht="12.75">
      <c r="A148" s="87"/>
      <c r="B148" s="64" t="s">
        <v>691</v>
      </c>
      <c r="C148" s="64" t="s">
        <v>469</v>
      </c>
      <c r="D148" s="118">
        <v>8</v>
      </c>
      <c r="E148" s="57">
        <v>2244</v>
      </c>
      <c r="F148" s="5"/>
      <c r="G148" s="119">
        <v>8</v>
      </c>
      <c r="H148" s="119">
        <v>2235</v>
      </c>
      <c r="J148" s="5"/>
      <c r="K148" s="5"/>
    </row>
    <row r="149" spans="1:11" ht="12.75">
      <c r="A149" s="87"/>
      <c r="B149" s="64" t="s">
        <v>797</v>
      </c>
      <c r="C149" s="64" t="s">
        <v>469</v>
      </c>
      <c r="D149" s="118">
        <v>7</v>
      </c>
      <c r="E149" s="57">
        <v>2248</v>
      </c>
      <c r="F149" s="5">
        <v>8</v>
      </c>
      <c r="G149" s="119"/>
      <c r="H149" s="119"/>
      <c r="J149" s="5"/>
      <c r="K149" s="5"/>
    </row>
    <row r="150" spans="1:11" ht="12.75">
      <c r="A150" s="87"/>
      <c r="B150" s="64" t="s">
        <v>695</v>
      </c>
      <c r="C150" s="64" t="s">
        <v>12</v>
      </c>
      <c r="D150" s="124">
        <v>6</v>
      </c>
      <c r="E150" s="57">
        <v>2252</v>
      </c>
      <c r="F150" s="5">
        <v>5</v>
      </c>
      <c r="G150" s="119"/>
      <c r="H150" s="119"/>
      <c r="J150" s="5"/>
      <c r="K150" s="5"/>
    </row>
    <row r="151" spans="1:11" ht="12.75">
      <c r="A151" s="87"/>
      <c r="B151" s="64"/>
      <c r="C151" s="64"/>
      <c r="D151" s="118"/>
      <c r="E151" s="57"/>
      <c r="F151" s="5"/>
      <c r="G151" s="119"/>
      <c r="H151" s="119"/>
      <c r="J151" s="5"/>
      <c r="K151" s="5"/>
    </row>
    <row r="152" spans="1:11" ht="12.75">
      <c r="A152" s="126" t="s">
        <v>571</v>
      </c>
      <c r="B152" s="127" t="s">
        <v>591</v>
      </c>
      <c r="C152" s="127" t="s">
        <v>769</v>
      </c>
      <c r="D152" s="128" t="s">
        <v>484</v>
      </c>
      <c r="E152" s="129" t="s">
        <v>770</v>
      </c>
      <c r="F152" s="44"/>
      <c r="G152" s="133"/>
      <c r="H152" s="133"/>
      <c r="I152" s="134"/>
      <c r="J152" s="44"/>
      <c r="K152" s="44"/>
    </row>
    <row r="153" spans="1:11" ht="12.75">
      <c r="A153" s="102" t="s">
        <v>639</v>
      </c>
      <c r="B153" s="64" t="s">
        <v>573</v>
      </c>
      <c r="C153" s="64" t="s">
        <v>594</v>
      </c>
      <c r="D153" s="124">
        <v>6</v>
      </c>
      <c r="E153" s="57">
        <v>2191</v>
      </c>
      <c r="F153" s="5">
        <v>4</v>
      </c>
      <c r="G153" s="119">
        <v>8</v>
      </c>
      <c r="H153" s="119">
        <v>2100</v>
      </c>
      <c r="I153" t="s">
        <v>798</v>
      </c>
      <c r="J153" s="5"/>
      <c r="K153" s="5"/>
    </row>
    <row r="154" spans="1:11" ht="12.75">
      <c r="A154" s="87"/>
      <c r="B154" s="64" t="s">
        <v>576</v>
      </c>
      <c r="C154" s="64" t="s">
        <v>687</v>
      </c>
      <c r="D154" s="124">
        <v>8</v>
      </c>
      <c r="E154" s="57">
        <v>2210</v>
      </c>
      <c r="F154" s="5"/>
      <c r="G154" s="119"/>
      <c r="H154" s="119"/>
      <c r="J154" s="5"/>
      <c r="K154" s="14" t="s">
        <v>799</v>
      </c>
    </row>
    <row r="155" spans="1:11" ht="12.75">
      <c r="A155" s="87"/>
      <c r="B155" s="64" t="s">
        <v>572</v>
      </c>
      <c r="C155" s="64" t="s">
        <v>687</v>
      </c>
      <c r="D155" s="124">
        <v>12</v>
      </c>
      <c r="E155" s="57">
        <v>2210</v>
      </c>
      <c r="F155" s="5">
        <v>11</v>
      </c>
      <c r="G155" s="119">
        <v>9</v>
      </c>
      <c r="H155" s="119">
        <v>2210</v>
      </c>
      <c r="I155" t="s">
        <v>778</v>
      </c>
      <c r="J155" s="5"/>
      <c r="K155" s="5"/>
    </row>
    <row r="156" spans="1:11" ht="12.75">
      <c r="A156" s="102"/>
      <c r="B156" s="64" t="s">
        <v>61</v>
      </c>
      <c r="C156" s="64" t="s">
        <v>793</v>
      </c>
      <c r="D156" s="124">
        <v>0</v>
      </c>
      <c r="E156" s="57">
        <v>2210</v>
      </c>
      <c r="F156" s="5">
        <v>4</v>
      </c>
      <c r="G156" s="119"/>
      <c r="H156" s="119"/>
      <c r="J156" s="5"/>
      <c r="K156" s="5"/>
    </row>
    <row r="157" spans="1:11" ht="12.75">
      <c r="A157" s="87"/>
      <c r="B157" s="64" t="s">
        <v>1012</v>
      </c>
      <c r="C157" s="64" t="s">
        <v>687</v>
      </c>
      <c r="D157" s="124">
        <v>7</v>
      </c>
      <c r="E157" s="57">
        <v>2213</v>
      </c>
      <c r="F157" s="5">
        <v>9</v>
      </c>
      <c r="G157" s="119"/>
      <c r="H157" s="119"/>
      <c r="J157" s="5"/>
      <c r="K157" s="5"/>
    </row>
    <row r="158" spans="1:11" ht="12.75">
      <c r="A158" s="87"/>
      <c r="B158" s="64" t="s">
        <v>1011</v>
      </c>
      <c r="C158" s="64" t="s">
        <v>632</v>
      </c>
      <c r="D158" s="124">
        <v>6</v>
      </c>
      <c r="E158" s="57">
        <v>2213</v>
      </c>
      <c r="F158" s="5">
        <v>5</v>
      </c>
      <c r="G158" s="119"/>
      <c r="H158" s="119"/>
      <c r="J158" s="5"/>
      <c r="K158" s="5"/>
    </row>
    <row r="159" spans="1:11" ht="12.75">
      <c r="A159" s="87"/>
      <c r="B159" s="64" t="s">
        <v>577</v>
      </c>
      <c r="C159" s="64" t="s">
        <v>687</v>
      </c>
      <c r="D159" s="124">
        <v>7</v>
      </c>
      <c r="E159" s="57">
        <v>2218</v>
      </c>
      <c r="F159" s="5">
        <v>8</v>
      </c>
      <c r="G159" s="119"/>
      <c r="H159" s="119"/>
      <c r="I159" t="s">
        <v>788</v>
      </c>
      <c r="J159" s="5"/>
      <c r="K159" s="5"/>
    </row>
    <row r="160" spans="1:11" ht="12.75">
      <c r="A160" s="87"/>
      <c r="B160" s="64" t="s">
        <v>800</v>
      </c>
      <c r="C160" s="64" t="s">
        <v>687</v>
      </c>
      <c r="D160" s="124">
        <v>8</v>
      </c>
      <c r="E160" s="57">
        <v>2219</v>
      </c>
      <c r="F160" s="5">
        <v>9</v>
      </c>
      <c r="G160" s="119"/>
      <c r="H160" s="119"/>
      <c r="J160" s="5"/>
      <c r="K160" s="5"/>
    </row>
    <row r="161" spans="1:11" ht="12.75">
      <c r="A161" s="87"/>
      <c r="B161" s="64" t="s">
        <v>578</v>
      </c>
      <c r="C161" s="64" t="s">
        <v>687</v>
      </c>
      <c r="D161" s="124">
        <v>8</v>
      </c>
      <c r="E161" s="57">
        <v>2239</v>
      </c>
      <c r="F161" s="5">
        <v>9</v>
      </c>
      <c r="G161" s="119"/>
      <c r="H161" s="119"/>
      <c r="J161" s="5"/>
      <c r="K161" s="5"/>
    </row>
    <row r="162" spans="1:11" ht="12.75">
      <c r="A162" s="87"/>
      <c r="B162" s="64" t="s">
        <v>574</v>
      </c>
      <c r="C162" s="64" t="s">
        <v>687</v>
      </c>
      <c r="D162" s="124">
        <v>10</v>
      </c>
      <c r="E162" s="57">
        <v>2258</v>
      </c>
      <c r="F162" s="5"/>
      <c r="G162" s="119">
        <v>10</v>
      </c>
      <c r="H162" s="119">
        <v>2245</v>
      </c>
      <c r="J162" s="5"/>
      <c r="K162" s="5"/>
    </row>
    <row r="163" spans="1:11" ht="12.75">
      <c r="A163" s="87"/>
      <c r="B163" s="64" t="s">
        <v>575</v>
      </c>
      <c r="C163" s="64" t="s">
        <v>687</v>
      </c>
      <c r="D163" s="124">
        <v>10</v>
      </c>
      <c r="E163" s="57">
        <v>2260</v>
      </c>
      <c r="F163" s="5"/>
      <c r="G163" s="119"/>
      <c r="H163" s="119"/>
      <c r="J163" s="5"/>
      <c r="K163" s="5"/>
    </row>
    <row r="164" spans="1:11" ht="12.75">
      <c r="A164" s="87"/>
      <c r="B164" s="64" t="s">
        <v>57</v>
      </c>
      <c r="C164" s="64" t="s">
        <v>55</v>
      </c>
      <c r="D164" s="124">
        <v>0</v>
      </c>
      <c r="E164" s="57">
        <v>2162</v>
      </c>
      <c r="F164" s="5">
        <v>3</v>
      </c>
      <c r="G164" s="119"/>
      <c r="H164" s="119"/>
      <c r="J164" s="5"/>
      <c r="K164" s="5"/>
    </row>
    <row r="165" spans="1:11" ht="12.75">
      <c r="A165" s="87"/>
      <c r="B165" s="64"/>
      <c r="C165" s="64"/>
      <c r="D165" s="118"/>
      <c r="E165" s="57"/>
      <c r="F165" s="5"/>
      <c r="G165" s="119"/>
      <c r="H165" s="119"/>
      <c r="J165" s="5"/>
      <c r="K165" s="5"/>
    </row>
    <row r="166" spans="1:11" ht="12.75">
      <c r="A166" s="126" t="s">
        <v>801</v>
      </c>
      <c r="B166" s="127" t="s">
        <v>591</v>
      </c>
      <c r="C166" s="127" t="s">
        <v>769</v>
      </c>
      <c r="D166" s="128" t="s">
        <v>484</v>
      </c>
      <c r="E166" s="129" t="s">
        <v>770</v>
      </c>
      <c r="F166" s="44"/>
      <c r="G166" s="133"/>
      <c r="H166" s="133"/>
      <c r="I166" s="134"/>
      <c r="J166" s="44"/>
      <c r="K166" s="44"/>
    </row>
    <row r="167" spans="1:11" ht="12.75">
      <c r="A167" s="87"/>
      <c r="B167" s="64"/>
      <c r="C167" s="64"/>
      <c r="D167" s="118"/>
      <c r="E167" s="57"/>
      <c r="F167" s="5"/>
      <c r="G167" s="119"/>
      <c r="H167" s="119"/>
      <c r="J167" s="5"/>
      <c r="K167" s="5"/>
    </row>
    <row r="168" spans="1:11" ht="12.75">
      <c r="A168" s="87"/>
      <c r="B168" s="64" t="s">
        <v>802</v>
      </c>
      <c r="C168" s="64" t="s">
        <v>594</v>
      </c>
      <c r="D168" s="118">
        <v>10</v>
      </c>
      <c r="E168" s="57">
        <v>2180</v>
      </c>
      <c r="F168" s="5">
        <v>11</v>
      </c>
      <c r="G168" s="119">
        <v>9</v>
      </c>
      <c r="H168" s="119"/>
      <c r="I168" t="s">
        <v>778</v>
      </c>
      <c r="J168" s="5"/>
      <c r="K168" s="5"/>
    </row>
    <row r="169" spans="1:11" ht="12.75">
      <c r="A169" s="87"/>
      <c r="B169" s="64" t="s">
        <v>803</v>
      </c>
      <c r="C169" s="64" t="s">
        <v>594</v>
      </c>
      <c r="D169" s="118">
        <v>8</v>
      </c>
      <c r="E169" s="57">
        <v>2213</v>
      </c>
      <c r="F169" s="5">
        <v>6</v>
      </c>
      <c r="G169" s="119">
        <v>10</v>
      </c>
      <c r="H169" s="119"/>
      <c r="J169" s="5"/>
      <c r="K169" s="5"/>
    </row>
    <row r="170" spans="1:11" ht="12.75">
      <c r="A170" s="87"/>
      <c r="B170" s="64" t="s">
        <v>804</v>
      </c>
      <c r="C170" s="64" t="s">
        <v>469</v>
      </c>
      <c r="D170" s="118">
        <v>10</v>
      </c>
      <c r="E170" s="57">
        <v>2220</v>
      </c>
      <c r="F170" s="5"/>
      <c r="G170" s="119"/>
      <c r="H170" s="119"/>
      <c r="J170" s="5"/>
      <c r="K170" s="5"/>
    </row>
    <row r="171" spans="1:11" ht="12.75">
      <c r="A171" s="87"/>
      <c r="B171" s="64" t="s">
        <v>805</v>
      </c>
      <c r="C171" s="64" t="s">
        <v>788</v>
      </c>
      <c r="D171" s="118">
        <v>8</v>
      </c>
      <c r="E171" s="57">
        <v>2230</v>
      </c>
      <c r="F171" s="5"/>
      <c r="G171" s="119"/>
      <c r="H171" s="119"/>
      <c r="J171" s="5"/>
      <c r="K171" s="5"/>
    </row>
    <row r="172" spans="1:11" ht="12.75">
      <c r="A172" s="87"/>
      <c r="B172" s="64" t="s">
        <v>806</v>
      </c>
      <c r="C172" s="64" t="s">
        <v>594</v>
      </c>
      <c r="D172" s="118">
        <v>8</v>
      </c>
      <c r="E172" s="57">
        <v>2231</v>
      </c>
      <c r="F172" s="5">
        <v>6</v>
      </c>
      <c r="G172" s="119"/>
      <c r="H172" s="119"/>
      <c r="J172" s="5"/>
      <c r="K172" s="5"/>
    </row>
    <row r="173" spans="1:11" ht="12.75">
      <c r="A173" s="100"/>
      <c r="B173" s="65" t="s">
        <v>807</v>
      </c>
      <c r="C173" s="65" t="s">
        <v>808</v>
      </c>
      <c r="D173" s="118">
        <v>10</v>
      </c>
      <c r="E173" s="57">
        <v>2233</v>
      </c>
      <c r="F173" s="5">
        <v>9</v>
      </c>
      <c r="G173" s="119"/>
      <c r="H173" s="119"/>
      <c r="J173" s="5"/>
      <c r="K173" s="5"/>
    </row>
    <row r="174" spans="1:11" ht="12.75">
      <c r="A174" s="87"/>
      <c r="B174" s="64" t="s">
        <v>809</v>
      </c>
      <c r="C174" s="64" t="s">
        <v>687</v>
      </c>
      <c r="D174" s="118">
        <v>10</v>
      </c>
      <c r="E174" s="57">
        <v>2243</v>
      </c>
      <c r="F174" s="5"/>
      <c r="G174" s="119"/>
      <c r="H174" s="119"/>
      <c r="J174" s="5"/>
      <c r="K174" s="5"/>
    </row>
    <row r="175" spans="1:11" ht="12.75">
      <c r="A175" s="87"/>
      <c r="B175" s="64" t="s">
        <v>810</v>
      </c>
      <c r="C175" s="64" t="s">
        <v>594</v>
      </c>
      <c r="D175" s="118">
        <v>10</v>
      </c>
      <c r="E175" s="57">
        <v>2245</v>
      </c>
      <c r="F175" s="5">
        <v>6</v>
      </c>
      <c r="G175" s="119"/>
      <c r="H175" s="119"/>
      <c r="J175" s="5"/>
      <c r="K175" s="5"/>
    </row>
    <row r="176" spans="1:11" ht="12.75">
      <c r="A176" s="87"/>
      <c r="B176" s="64" t="s">
        <v>811</v>
      </c>
      <c r="C176" s="64" t="s">
        <v>469</v>
      </c>
      <c r="D176" s="118">
        <v>9</v>
      </c>
      <c r="E176" s="57">
        <v>2246</v>
      </c>
      <c r="F176" s="5">
        <v>10</v>
      </c>
      <c r="G176" s="119"/>
      <c r="H176" s="119"/>
      <c r="J176" s="5"/>
      <c r="K176" s="5"/>
    </row>
    <row r="177" spans="1:11" ht="12.75">
      <c r="A177" s="87"/>
      <c r="B177" s="64"/>
      <c r="C177" s="64"/>
      <c r="D177" s="118"/>
      <c r="E177" s="57"/>
      <c r="F177" s="5"/>
      <c r="G177" s="119"/>
      <c r="H177" s="119"/>
      <c r="J177" s="5"/>
      <c r="K177" s="5"/>
    </row>
    <row r="178" spans="1:11" ht="12.75">
      <c r="A178" s="126" t="s">
        <v>579</v>
      </c>
      <c r="B178" s="127" t="s">
        <v>591</v>
      </c>
      <c r="C178" s="127" t="s">
        <v>769</v>
      </c>
      <c r="D178" s="128" t="s">
        <v>484</v>
      </c>
      <c r="E178" s="129" t="s">
        <v>770</v>
      </c>
      <c r="F178" s="44"/>
      <c r="G178" s="133"/>
      <c r="H178" s="133"/>
      <c r="I178" s="134"/>
      <c r="J178" s="44"/>
      <c r="K178" s="44"/>
    </row>
    <row r="179" spans="1:11" ht="12.75">
      <c r="A179" s="102" t="s">
        <v>52</v>
      </c>
      <c r="B179" s="64" t="s">
        <v>581</v>
      </c>
      <c r="C179" s="64" t="s">
        <v>12</v>
      </c>
      <c r="D179" s="118">
        <v>12</v>
      </c>
      <c r="E179" s="57" t="s">
        <v>52</v>
      </c>
      <c r="F179" s="5"/>
      <c r="G179" s="119"/>
      <c r="H179" s="119"/>
      <c r="J179" s="5"/>
      <c r="K179" s="5"/>
    </row>
    <row r="180" spans="1:11" ht="12.75">
      <c r="A180" s="102" t="s">
        <v>698</v>
      </c>
      <c r="B180" s="64" t="s">
        <v>580</v>
      </c>
      <c r="C180" s="64" t="s">
        <v>12</v>
      </c>
      <c r="D180" s="118">
        <v>14</v>
      </c>
      <c r="E180" s="57" t="s">
        <v>52</v>
      </c>
      <c r="F180" s="5"/>
      <c r="G180" s="119"/>
      <c r="H180" s="119"/>
      <c r="J180" s="5"/>
      <c r="K180" s="5"/>
    </row>
    <row r="181" spans="1:11" ht="12.75">
      <c r="A181" s="87"/>
      <c r="B181" s="64" t="s">
        <v>699</v>
      </c>
      <c r="C181" s="64" t="s">
        <v>12</v>
      </c>
      <c r="D181" s="118">
        <v>14</v>
      </c>
      <c r="E181" s="57" t="s">
        <v>52</v>
      </c>
      <c r="F181" s="5"/>
      <c r="G181" s="119"/>
      <c r="H181" s="119"/>
      <c r="J181" s="5"/>
      <c r="K181" s="5"/>
    </row>
    <row r="182" spans="1:11" ht="12.75">
      <c r="A182" s="87"/>
      <c r="B182" s="64"/>
      <c r="C182" s="64"/>
      <c r="D182" s="118"/>
      <c r="E182" s="57"/>
      <c r="F182" s="5"/>
      <c r="G182" s="119"/>
      <c r="H182" s="119"/>
      <c r="J182" s="5"/>
      <c r="K182" s="5"/>
    </row>
    <row r="183" spans="1:11" ht="12.75">
      <c r="A183" s="126" t="s">
        <v>701</v>
      </c>
      <c r="B183" s="127" t="s">
        <v>591</v>
      </c>
      <c r="C183" s="127" t="s">
        <v>769</v>
      </c>
      <c r="D183" s="128" t="s">
        <v>484</v>
      </c>
      <c r="E183" s="129" t="s">
        <v>770</v>
      </c>
      <c r="F183" s="44"/>
      <c r="G183" s="133"/>
      <c r="H183" s="133"/>
      <c r="I183" s="134"/>
      <c r="J183" s="44"/>
      <c r="K183" s="44"/>
    </row>
    <row r="184" spans="1:11" ht="12.75">
      <c r="A184" s="102" t="s">
        <v>52</v>
      </c>
      <c r="B184" s="64" t="s">
        <v>702</v>
      </c>
      <c r="C184" s="64" t="s">
        <v>611</v>
      </c>
      <c r="D184" s="124">
        <v>12</v>
      </c>
      <c r="E184" s="57" t="s">
        <v>52</v>
      </c>
      <c r="F184" s="5"/>
      <c r="G184" s="119"/>
      <c r="H184" s="119"/>
      <c r="J184" s="5"/>
      <c r="K184" s="5"/>
    </row>
    <row r="185" spans="1:11" ht="12.75">
      <c r="A185" s="102" t="s">
        <v>698</v>
      </c>
      <c r="B185" s="64" t="s">
        <v>703</v>
      </c>
      <c r="C185" s="64" t="s">
        <v>611</v>
      </c>
      <c r="D185" s="124">
        <v>12</v>
      </c>
      <c r="E185" s="57" t="s">
        <v>52</v>
      </c>
      <c r="F185" s="5"/>
      <c r="G185" s="119"/>
      <c r="H185" s="119"/>
      <c r="J185" s="5"/>
      <c r="K185" s="5"/>
    </row>
    <row r="186" spans="1:11" ht="12.75">
      <c r="A186" s="87"/>
      <c r="B186" s="64" t="s">
        <v>699</v>
      </c>
      <c r="C186" s="64"/>
      <c r="D186" s="118">
        <v>14</v>
      </c>
      <c r="E186" s="57" t="s">
        <v>52</v>
      </c>
      <c r="F186" s="5"/>
      <c r="G186" s="119"/>
      <c r="H186" s="119"/>
      <c r="J186" s="5"/>
      <c r="K186" s="5"/>
    </row>
    <row r="187" spans="1:11" ht="12.75">
      <c r="A187" s="87"/>
      <c r="B187" s="64" t="s">
        <v>584</v>
      </c>
      <c r="C187" s="64" t="s">
        <v>469</v>
      </c>
      <c r="D187" s="118">
        <v>14</v>
      </c>
      <c r="E187" s="57" t="s">
        <v>52</v>
      </c>
      <c r="F187" s="5"/>
      <c r="G187" s="119"/>
      <c r="H187" s="119"/>
      <c r="J187" s="5"/>
      <c r="K187" s="5"/>
    </row>
    <row r="188" spans="1:11" ht="12.75">
      <c r="A188" s="87"/>
      <c r="B188" s="64" t="s">
        <v>705</v>
      </c>
      <c r="C188" s="64" t="s">
        <v>469</v>
      </c>
      <c r="D188" s="118">
        <v>13</v>
      </c>
      <c r="E188" s="57" t="s">
        <v>52</v>
      </c>
      <c r="F188" s="5"/>
      <c r="G188" s="119"/>
      <c r="H188" s="119"/>
      <c r="J188" s="5"/>
      <c r="K188" s="5"/>
    </row>
    <row r="189" spans="1:11" ht="12.75">
      <c r="A189" s="87"/>
      <c r="B189" s="64" t="s">
        <v>707</v>
      </c>
      <c r="C189" s="64" t="s">
        <v>469</v>
      </c>
      <c r="D189" s="118">
        <v>14</v>
      </c>
      <c r="E189" s="57" t="s">
        <v>52</v>
      </c>
      <c r="F189" s="5"/>
      <c r="G189" s="119"/>
      <c r="H189" s="119"/>
      <c r="J189" s="5"/>
      <c r="K189" s="5"/>
    </row>
    <row r="190" spans="1:11" ht="12.75">
      <c r="A190" s="87"/>
      <c r="B190" s="64" t="s">
        <v>708</v>
      </c>
      <c r="C190" s="64" t="s">
        <v>469</v>
      </c>
      <c r="D190" s="124">
        <v>12</v>
      </c>
      <c r="E190" s="57" t="s">
        <v>52</v>
      </c>
      <c r="F190" s="5"/>
      <c r="G190" s="119"/>
      <c r="H190" s="119"/>
      <c r="J190" s="5"/>
      <c r="K190" s="5"/>
    </row>
    <row r="192" spans="1:11" ht="12.75">
      <c r="A192" s="126" t="s">
        <v>19</v>
      </c>
      <c r="B192" s="127" t="s">
        <v>591</v>
      </c>
      <c r="C192" s="127" t="s">
        <v>769</v>
      </c>
      <c r="D192" s="128" t="s">
        <v>484</v>
      </c>
      <c r="E192" s="129" t="s">
        <v>770</v>
      </c>
      <c r="F192" s="44"/>
      <c r="G192" s="133"/>
      <c r="H192" s="133"/>
      <c r="I192" s="134"/>
      <c r="J192" s="44"/>
      <c r="K192" s="44"/>
    </row>
    <row r="193" spans="2:8" ht="12.75">
      <c r="B193" s="65" t="s">
        <v>876</v>
      </c>
      <c r="C193" s="65" t="s">
        <v>870</v>
      </c>
      <c r="D193" s="124">
        <v>6</v>
      </c>
      <c r="E193" s="57" t="s">
        <v>52</v>
      </c>
      <c r="F193" s="5">
        <v>8</v>
      </c>
      <c r="G193" s="119">
        <v>13</v>
      </c>
      <c r="H193" s="119">
        <v>2200</v>
      </c>
    </row>
    <row r="194" spans="2:6" ht="12.75">
      <c r="B194" s="65" t="s">
        <v>874</v>
      </c>
      <c r="C194" s="65" t="s">
        <v>632</v>
      </c>
      <c r="D194" s="124">
        <v>8</v>
      </c>
      <c r="E194" s="57" t="s">
        <v>52</v>
      </c>
      <c r="F194" s="5">
        <v>9</v>
      </c>
    </row>
    <row r="195" spans="2:5" ht="12.75">
      <c r="B195" s="65" t="s">
        <v>877</v>
      </c>
      <c r="C195" s="65" t="s">
        <v>611</v>
      </c>
      <c r="D195" s="124">
        <v>11</v>
      </c>
      <c r="E195" s="57" t="s">
        <v>52</v>
      </c>
    </row>
    <row r="196" spans="2:5" ht="12.75">
      <c r="B196" s="65" t="s">
        <v>584</v>
      </c>
      <c r="C196" t="s">
        <v>469</v>
      </c>
      <c r="D196" s="124">
        <v>13</v>
      </c>
      <c r="E196" s="57" t="s">
        <v>52</v>
      </c>
    </row>
    <row r="197" spans="2:5" ht="12.75">
      <c r="B197" s="65" t="s">
        <v>878</v>
      </c>
      <c r="C197" t="s">
        <v>614</v>
      </c>
      <c r="D197" s="124">
        <v>14</v>
      </c>
      <c r="E197" s="57" t="s">
        <v>52</v>
      </c>
    </row>
  </sheetData>
  <conditionalFormatting sqref="F174:F190 F192:F194 F17:F172">
    <cfRule type="cellIs" priority="1" dxfId="5" operator="lessThan" stopIfTrue="1">
      <formula>D17</formula>
    </cfRule>
    <cfRule type="cellIs" priority="2" dxfId="7" operator="greaterThan" stopIfTrue="1">
      <formula>D17</formula>
    </cfRule>
  </conditionalFormatting>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6"/>
  </sheetPr>
  <dimension ref="A1:U3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G12" sqref="G12"/>
    </sheetView>
  </sheetViews>
  <sheetFormatPr defaultColWidth="9.140625" defaultRowHeight="12.75"/>
  <cols>
    <col min="1" max="1" width="16.57421875" style="0" customWidth="1"/>
    <col min="3" max="3" width="7.421875" style="0" hidden="1" customWidth="1"/>
    <col min="4" max="4" width="13.57421875" style="0" hidden="1" customWidth="1"/>
    <col min="5" max="5" width="11.140625" style="228" customWidth="1"/>
    <col min="6" max="6" width="6.7109375" style="0" hidden="1" customWidth="1"/>
    <col min="7" max="7" width="9.140625" style="212" customWidth="1"/>
    <col min="8" max="8" width="7.8515625" style="187" customWidth="1"/>
    <col min="9" max="9" width="7.8515625" style="234" customWidth="1"/>
    <col min="10" max="10" width="8.28125" style="234" customWidth="1"/>
    <col min="11" max="11" width="14.421875" style="236" customWidth="1"/>
    <col min="12" max="12" width="7.28125" style="236" customWidth="1"/>
    <col min="13" max="13" width="8.7109375" style="61" customWidth="1"/>
    <col min="14" max="14" width="6.28125" style="7" customWidth="1"/>
    <col min="15" max="15" width="0" style="7" hidden="1" customWidth="1"/>
    <col min="16" max="16" width="6.140625" style="25" customWidth="1"/>
    <col min="17" max="17" width="6.7109375" style="25" customWidth="1"/>
    <col min="18" max="18" width="0" style="25" hidden="1" customWidth="1"/>
    <col min="19" max="19" width="18.8515625" style="25" customWidth="1"/>
    <col min="20" max="20" width="5.8515625" style="25" customWidth="1"/>
    <col min="21" max="21" width="32.421875" style="0" bestFit="1" customWidth="1"/>
  </cols>
  <sheetData>
    <row r="1" spans="1:21" ht="31.5">
      <c r="A1" s="110" t="s">
        <v>55</v>
      </c>
      <c r="B1" s="110" t="s">
        <v>709</v>
      </c>
      <c r="C1" s="110" t="s">
        <v>710</v>
      </c>
      <c r="D1" s="110" t="s">
        <v>711</v>
      </c>
      <c r="E1" s="220" t="s">
        <v>464</v>
      </c>
      <c r="F1" s="110" t="s">
        <v>712</v>
      </c>
      <c r="G1" s="206" t="s">
        <v>926</v>
      </c>
      <c r="H1" s="112" t="s">
        <v>483</v>
      </c>
      <c r="I1" s="110" t="s">
        <v>480</v>
      </c>
      <c r="J1" s="110" t="s">
        <v>716</v>
      </c>
      <c r="K1" s="111" t="s">
        <v>599</v>
      </c>
      <c r="L1" s="111" t="s">
        <v>992</v>
      </c>
      <c r="M1" s="111" t="s">
        <v>990</v>
      </c>
      <c r="N1" s="206" t="s">
        <v>713</v>
      </c>
      <c r="O1" s="207" t="s">
        <v>714</v>
      </c>
      <c r="P1" s="112" t="s">
        <v>715</v>
      </c>
      <c r="Q1" s="112" t="s">
        <v>468</v>
      </c>
      <c r="R1" s="223" t="s">
        <v>717</v>
      </c>
      <c r="S1" s="224" t="s">
        <v>718</v>
      </c>
      <c r="T1" s="112" t="s">
        <v>439</v>
      </c>
      <c r="U1" s="112" t="s">
        <v>994</v>
      </c>
    </row>
    <row r="2" spans="1:20" s="25" customFormat="1" ht="15" customHeight="1">
      <c r="A2" s="201" t="s">
        <v>494</v>
      </c>
      <c r="B2" s="202"/>
      <c r="C2" s="113"/>
      <c r="D2" s="113"/>
      <c r="E2" s="227"/>
      <c r="F2" s="113"/>
      <c r="G2" s="229"/>
      <c r="H2" s="230"/>
      <c r="I2" s="233"/>
      <c r="J2" s="233"/>
      <c r="K2" s="222"/>
      <c r="L2" s="222"/>
      <c r="M2" s="222"/>
      <c r="N2" s="205"/>
      <c r="O2" s="205"/>
      <c r="P2" s="113"/>
      <c r="Q2" s="113"/>
      <c r="R2" s="203"/>
      <c r="S2" s="202"/>
      <c r="T2" s="113"/>
    </row>
    <row r="3" spans="1:20" ht="15" customHeight="1">
      <c r="A3" s="114" t="s">
        <v>90</v>
      </c>
      <c r="B3" s="115" t="s">
        <v>16</v>
      </c>
      <c r="C3" s="116">
        <v>2</v>
      </c>
      <c r="D3" s="116" t="s">
        <v>719</v>
      </c>
      <c r="E3" s="221" t="s">
        <v>58</v>
      </c>
      <c r="F3" s="116">
        <v>5</v>
      </c>
      <c r="G3" s="231">
        <f aca="true" t="shared" si="0" ref="G3:G34">L3+M3+N3+J3+2</f>
        <v>10</v>
      </c>
      <c r="H3" s="232">
        <f aca="true" t="shared" si="1" ref="H3:H34">P3+Q3-J3+T3</f>
        <v>-5</v>
      </c>
      <c r="I3" s="116">
        <v>12</v>
      </c>
      <c r="J3" s="116">
        <v>6</v>
      </c>
      <c r="K3" s="101"/>
      <c r="L3" s="101"/>
      <c r="M3" s="101">
        <v>0</v>
      </c>
      <c r="N3" s="204">
        <v>2</v>
      </c>
      <c r="O3" s="208" t="s">
        <v>720</v>
      </c>
      <c r="P3" s="72">
        <v>2</v>
      </c>
      <c r="Q3" s="72">
        <v>-1</v>
      </c>
      <c r="R3" s="225" t="s">
        <v>721</v>
      </c>
      <c r="S3" s="117"/>
      <c r="T3" s="72"/>
    </row>
    <row r="4" spans="1:21" ht="15" customHeight="1">
      <c r="A4" s="114" t="s">
        <v>92</v>
      </c>
      <c r="B4" s="115" t="s">
        <v>16</v>
      </c>
      <c r="C4" s="116">
        <v>1</v>
      </c>
      <c r="D4" s="116" t="s">
        <v>722</v>
      </c>
      <c r="E4" s="221" t="s">
        <v>723</v>
      </c>
      <c r="F4" s="116">
        <v>5</v>
      </c>
      <c r="G4" s="231">
        <f t="shared" si="0"/>
        <v>10</v>
      </c>
      <c r="H4" s="232">
        <f t="shared" si="1"/>
        <v>-4</v>
      </c>
      <c r="I4" s="116">
        <v>11</v>
      </c>
      <c r="J4" s="116">
        <v>5</v>
      </c>
      <c r="K4" s="101"/>
      <c r="L4" s="101"/>
      <c r="M4" s="101">
        <v>0</v>
      </c>
      <c r="N4" s="204">
        <v>3</v>
      </c>
      <c r="O4" s="208" t="s">
        <v>724</v>
      </c>
      <c r="P4" s="72">
        <v>2</v>
      </c>
      <c r="Q4" s="72">
        <v>-1</v>
      </c>
      <c r="R4" s="225" t="s">
        <v>727</v>
      </c>
      <c r="S4" s="117"/>
      <c r="T4" s="72"/>
      <c r="U4" t="s">
        <v>997</v>
      </c>
    </row>
    <row r="5" spans="1:21" ht="15" customHeight="1">
      <c r="A5" s="114" t="s">
        <v>993</v>
      </c>
      <c r="B5" s="115" t="s">
        <v>16</v>
      </c>
      <c r="C5" s="116">
        <v>1</v>
      </c>
      <c r="D5" s="116" t="s">
        <v>722</v>
      </c>
      <c r="E5" s="221" t="s">
        <v>723</v>
      </c>
      <c r="F5" s="116">
        <v>5</v>
      </c>
      <c r="G5" s="231">
        <f t="shared" si="0"/>
        <v>12</v>
      </c>
      <c r="H5" s="232">
        <f t="shared" si="1"/>
        <v>-3</v>
      </c>
      <c r="I5" s="116">
        <v>10</v>
      </c>
      <c r="J5" s="116">
        <v>5</v>
      </c>
      <c r="K5" s="101" t="s">
        <v>991</v>
      </c>
      <c r="L5" s="101">
        <v>2</v>
      </c>
      <c r="M5" s="101">
        <v>0</v>
      </c>
      <c r="N5" s="204">
        <v>3</v>
      </c>
      <c r="O5" s="208" t="s">
        <v>724</v>
      </c>
      <c r="P5" s="72">
        <v>2</v>
      </c>
      <c r="Q5" s="72">
        <v>-1</v>
      </c>
      <c r="R5" s="225" t="s">
        <v>727</v>
      </c>
      <c r="S5" s="117" t="s">
        <v>996</v>
      </c>
      <c r="T5" s="72">
        <v>1</v>
      </c>
      <c r="U5" t="s">
        <v>995</v>
      </c>
    </row>
    <row r="6" spans="1:20" ht="31.5">
      <c r="A6" s="114" t="s">
        <v>72</v>
      </c>
      <c r="B6" s="115" t="s">
        <v>16</v>
      </c>
      <c r="C6" s="116">
        <v>3</v>
      </c>
      <c r="D6" s="116" t="s">
        <v>86</v>
      </c>
      <c r="E6" s="221" t="s">
        <v>725</v>
      </c>
      <c r="F6" s="116">
        <v>6</v>
      </c>
      <c r="G6" s="231">
        <f t="shared" si="0"/>
        <v>9</v>
      </c>
      <c r="H6" s="232">
        <f t="shared" si="1"/>
        <v>-4</v>
      </c>
      <c r="I6" s="116">
        <v>10</v>
      </c>
      <c r="J6" s="116">
        <v>5</v>
      </c>
      <c r="K6" s="235"/>
      <c r="L6" s="235"/>
      <c r="M6" s="101">
        <v>0</v>
      </c>
      <c r="N6" s="204">
        <v>2</v>
      </c>
      <c r="O6" s="208" t="s">
        <v>726</v>
      </c>
      <c r="P6" s="72">
        <v>2</v>
      </c>
      <c r="Q6" s="72">
        <v>-1</v>
      </c>
      <c r="R6" s="225" t="s">
        <v>727</v>
      </c>
      <c r="S6" s="117"/>
      <c r="T6" s="72"/>
    </row>
    <row r="7" spans="1:20" s="25" customFormat="1" ht="15" customHeight="1">
      <c r="A7" s="201" t="s">
        <v>508</v>
      </c>
      <c r="B7" s="202"/>
      <c r="C7" s="113"/>
      <c r="D7" s="113"/>
      <c r="E7" s="227"/>
      <c r="F7" s="113"/>
      <c r="G7" s="231">
        <f t="shared" si="0"/>
        <v>2</v>
      </c>
      <c r="H7" s="232">
        <f t="shared" si="1"/>
        <v>0</v>
      </c>
      <c r="I7" s="233"/>
      <c r="J7" s="233"/>
      <c r="K7" s="222"/>
      <c r="L7" s="222"/>
      <c r="M7" s="222"/>
      <c r="N7" s="205"/>
      <c r="O7" s="209"/>
      <c r="P7" s="113"/>
      <c r="Q7" s="113"/>
      <c r="R7" s="203"/>
      <c r="S7" s="202"/>
      <c r="T7" s="113"/>
    </row>
    <row r="8" spans="1:20" ht="15" customHeight="1">
      <c r="A8" s="114" t="s">
        <v>87</v>
      </c>
      <c r="B8" s="115" t="s">
        <v>16</v>
      </c>
      <c r="C8" s="116">
        <v>3</v>
      </c>
      <c r="D8" s="116" t="s">
        <v>719</v>
      </c>
      <c r="E8" s="221" t="s">
        <v>719</v>
      </c>
      <c r="F8" s="116">
        <v>6</v>
      </c>
      <c r="G8" s="231">
        <f t="shared" si="0"/>
        <v>14</v>
      </c>
      <c r="H8" s="232">
        <f t="shared" si="1"/>
        <v>-5</v>
      </c>
      <c r="I8" s="116">
        <v>13</v>
      </c>
      <c r="J8" s="116">
        <v>6</v>
      </c>
      <c r="K8" s="101"/>
      <c r="L8" s="101"/>
      <c r="M8" s="101">
        <v>2</v>
      </c>
      <c r="N8" s="204">
        <v>4</v>
      </c>
      <c r="O8" s="208" t="s">
        <v>720</v>
      </c>
      <c r="P8" s="72">
        <v>2</v>
      </c>
      <c r="Q8" s="72">
        <v>-1</v>
      </c>
      <c r="R8" s="225" t="s">
        <v>721</v>
      </c>
      <c r="S8" s="117"/>
      <c r="T8" s="72"/>
    </row>
    <row r="9" spans="1:20" ht="15" customHeight="1">
      <c r="A9" s="114" t="s">
        <v>85</v>
      </c>
      <c r="B9" s="115" t="s">
        <v>12</v>
      </c>
      <c r="C9" s="116">
        <v>2</v>
      </c>
      <c r="D9" s="116" t="s">
        <v>719</v>
      </c>
      <c r="E9" s="221" t="s">
        <v>58</v>
      </c>
      <c r="F9" s="116">
        <v>6</v>
      </c>
      <c r="G9" s="231">
        <f t="shared" si="0"/>
        <v>15</v>
      </c>
      <c r="H9" s="232">
        <f t="shared" si="1"/>
        <v>-6</v>
      </c>
      <c r="I9" s="116">
        <v>14</v>
      </c>
      <c r="J9" s="116">
        <v>7</v>
      </c>
      <c r="K9" s="101"/>
      <c r="L9" s="101"/>
      <c r="M9" s="101">
        <v>2</v>
      </c>
      <c r="N9" s="204">
        <v>4</v>
      </c>
      <c r="O9" s="208" t="s">
        <v>728</v>
      </c>
      <c r="P9" s="72">
        <v>2</v>
      </c>
      <c r="Q9" s="72">
        <v>-1</v>
      </c>
      <c r="R9" s="225" t="s">
        <v>729</v>
      </c>
      <c r="S9" s="117"/>
      <c r="T9" s="72"/>
    </row>
    <row r="10" spans="1:20" s="25" customFormat="1" ht="15" customHeight="1">
      <c r="A10" s="201" t="s">
        <v>522</v>
      </c>
      <c r="B10" s="202"/>
      <c r="C10" s="113"/>
      <c r="D10" s="113"/>
      <c r="E10" s="227"/>
      <c r="F10" s="113"/>
      <c r="G10" s="231">
        <f t="shared" si="0"/>
        <v>2</v>
      </c>
      <c r="H10" s="232">
        <f t="shared" si="1"/>
        <v>0</v>
      </c>
      <c r="I10" s="233"/>
      <c r="J10" s="233"/>
      <c r="K10" s="222"/>
      <c r="L10" s="222"/>
      <c r="M10" s="222"/>
      <c r="N10" s="205"/>
      <c r="O10" s="209"/>
      <c r="P10" s="113"/>
      <c r="Q10" s="113"/>
      <c r="R10" s="203"/>
      <c r="S10" s="202"/>
      <c r="T10" s="113"/>
    </row>
    <row r="11" spans="1:20" ht="15" customHeight="1">
      <c r="A11" s="114" t="s">
        <v>68</v>
      </c>
      <c r="B11" s="115" t="s">
        <v>12</v>
      </c>
      <c r="C11" s="116">
        <v>2</v>
      </c>
      <c r="D11" s="116" t="s">
        <v>730</v>
      </c>
      <c r="E11" s="221" t="s">
        <v>731</v>
      </c>
      <c r="F11" s="116">
        <v>7</v>
      </c>
      <c r="G11" s="231">
        <f t="shared" si="0"/>
        <v>12</v>
      </c>
      <c r="H11" s="232">
        <f t="shared" si="1"/>
        <v>-6</v>
      </c>
      <c r="I11" s="116">
        <v>12</v>
      </c>
      <c r="J11" s="116">
        <v>6</v>
      </c>
      <c r="K11" s="101"/>
      <c r="L11" s="101"/>
      <c r="M11" s="101">
        <v>1</v>
      </c>
      <c r="N11" s="204">
        <v>3</v>
      </c>
      <c r="O11" s="208" t="s">
        <v>732</v>
      </c>
      <c r="P11" s="72">
        <v>2</v>
      </c>
      <c r="Q11" s="72">
        <v>-1</v>
      </c>
      <c r="R11" s="225" t="s">
        <v>721</v>
      </c>
      <c r="S11" s="117" t="s">
        <v>733</v>
      </c>
      <c r="T11" s="72">
        <v>-1</v>
      </c>
    </row>
    <row r="12" spans="1:20" ht="15" customHeight="1">
      <c r="A12" s="114" t="s">
        <v>792</v>
      </c>
      <c r="B12" s="115" t="s">
        <v>12</v>
      </c>
      <c r="C12" s="116"/>
      <c r="D12" s="116"/>
      <c r="E12" s="221" t="s">
        <v>74</v>
      </c>
      <c r="F12" s="116"/>
      <c r="G12" s="231">
        <f>L12+M12+N12+J12+2</f>
        <v>11</v>
      </c>
      <c r="H12" s="232">
        <f>P12+Q12-J12+T12</f>
        <v>-5</v>
      </c>
      <c r="I12" s="116">
        <v>10</v>
      </c>
      <c r="J12" s="116">
        <v>5</v>
      </c>
      <c r="K12" s="101"/>
      <c r="L12" s="101"/>
      <c r="M12" s="101">
        <v>1</v>
      </c>
      <c r="N12" s="204">
        <v>3</v>
      </c>
      <c r="O12" s="208"/>
      <c r="P12" s="72">
        <v>2</v>
      </c>
      <c r="Q12" s="72">
        <v>-1</v>
      </c>
      <c r="R12" s="225"/>
      <c r="S12" s="117" t="s">
        <v>733</v>
      </c>
      <c r="T12" s="72">
        <v>-1</v>
      </c>
    </row>
    <row r="13" spans="1:20" ht="15" customHeight="1">
      <c r="A13" s="114" t="s">
        <v>67</v>
      </c>
      <c r="B13" s="115" t="s">
        <v>8</v>
      </c>
      <c r="C13" s="116">
        <v>2</v>
      </c>
      <c r="D13" s="116" t="s">
        <v>734</v>
      </c>
      <c r="E13" s="221" t="s">
        <v>735</v>
      </c>
      <c r="F13" s="116">
        <v>5</v>
      </c>
      <c r="G13" s="231">
        <f t="shared" si="0"/>
        <v>13</v>
      </c>
      <c r="H13" s="232">
        <f t="shared" si="1"/>
        <v>-8</v>
      </c>
      <c r="I13" s="116">
        <v>14</v>
      </c>
      <c r="J13" s="116">
        <v>7</v>
      </c>
      <c r="K13" s="101"/>
      <c r="L13" s="101"/>
      <c r="M13" s="101">
        <v>1</v>
      </c>
      <c r="N13" s="204">
        <v>3</v>
      </c>
      <c r="O13" s="208" t="s">
        <v>736</v>
      </c>
      <c r="P13" s="72">
        <v>1</v>
      </c>
      <c r="Q13" s="72">
        <v>-1</v>
      </c>
      <c r="R13" s="225" t="s">
        <v>729</v>
      </c>
      <c r="S13" s="117" t="s">
        <v>733</v>
      </c>
      <c r="T13" s="72">
        <v>-1</v>
      </c>
    </row>
    <row r="14" spans="1:20" ht="15" customHeight="1">
      <c r="A14" s="114" t="s">
        <v>75</v>
      </c>
      <c r="B14" s="117" t="s">
        <v>737</v>
      </c>
      <c r="C14" s="116" t="s">
        <v>738</v>
      </c>
      <c r="D14" s="116" t="s">
        <v>739</v>
      </c>
      <c r="E14" s="221" t="s">
        <v>740</v>
      </c>
      <c r="F14" s="116">
        <v>5</v>
      </c>
      <c r="G14" s="231">
        <f t="shared" si="0"/>
        <v>1</v>
      </c>
      <c r="H14" s="232">
        <f t="shared" si="1"/>
        <v>3</v>
      </c>
      <c r="I14" s="116">
        <v>10</v>
      </c>
      <c r="J14" s="116">
        <f>-INT(I14/2)</f>
        <v>-5</v>
      </c>
      <c r="K14" s="101"/>
      <c r="L14" s="101"/>
      <c r="M14" s="101">
        <v>1</v>
      </c>
      <c r="N14" s="204">
        <v>3</v>
      </c>
      <c r="O14" s="208" t="s">
        <v>741</v>
      </c>
      <c r="P14" s="72">
        <v>2</v>
      </c>
      <c r="Q14" s="72">
        <v>-1</v>
      </c>
      <c r="R14" s="226"/>
      <c r="S14" s="117" t="s">
        <v>742</v>
      </c>
      <c r="T14" s="72">
        <v>-3</v>
      </c>
    </row>
    <row r="15" spans="1:20" s="25" customFormat="1" ht="15" customHeight="1">
      <c r="A15" s="201" t="s">
        <v>537</v>
      </c>
      <c r="B15" s="202"/>
      <c r="C15" s="113"/>
      <c r="D15" s="113"/>
      <c r="E15" s="227"/>
      <c r="F15" s="113"/>
      <c r="G15" s="231">
        <f t="shared" si="0"/>
        <v>2</v>
      </c>
      <c r="H15" s="232">
        <f t="shared" si="1"/>
        <v>0</v>
      </c>
      <c r="I15" s="233"/>
      <c r="J15" s="233"/>
      <c r="K15" s="222"/>
      <c r="L15" s="222"/>
      <c r="M15" s="222"/>
      <c r="N15" s="205"/>
      <c r="O15" s="209"/>
      <c r="P15" s="113"/>
      <c r="Q15" s="113"/>
      <c r="R15" s="203"/>
      <c r="S15" s="202"/>
      <c r="T15" s="113"/>
    </row>
    <row r="16" spans="1:20" ht="15" customHeight="1">
      <c r="A16" s="114" t="s">
        <v>88</v>
      </c>
      <c r="B16" s="115" t="s">
        <v>16</v>
      </c>
      <c r="C16" s="116">
        <v>2</v>
      </c>
      <c r="D16" s="116" t="s">
        <v>743</v>
      </c>
      <c r="E16" s="221" t="s">
        <v>78</v>
      </c>
      <c r="F16" s="116">
        <v>4</v>
      </c>
      <c r="G16" s="231">
        <f t="shared" si="0"/>
        <v>10</v>
      </c>
      <c r="H16" s="232">
        <f t="shared" si="1"/>
        <v>-4</v>
      </c>
      <c r="I16" s="116">
        <v>10</v>
      </c>
      <c r="J16" s="116">
        <v>5</v>
      </c>
      <c r="K16" s="101"/>
      <c r="L16" s="101"/>
      <c r="M16" s="101">
        <v>0</v>
      </c>
      <c r="N16" s="204">
        <v>3</v>
      </c>
      <c r="O16" s="208" t="s">
        <v>720</v>
      </c>
      <c r="P16" s="72">
        <v>2</v>
      </c>
      <c r="Q16" s="72">
        <v>-1</v>
      </c>
      <c r="R16" s="225" t="s">
        <v>727</v>
      </c>
      <c r="S16" s="117"/>
      <c r="T16" s="72"/>
    </row>
    <row r="17" spans="1:20" ht="15" customHeight="1">
      <c r="A17" s="114" t="s">
        <v>59</v>
      </c>
      <c r="B17" s="115" t="s">
        <v>12</v>
      </c>
      <c r="C17" s="116">
        <v>2</v>
      </c>
      <c r="D17" s="116" t="s">
        <v>723</v>
      </c>
      <c r="E17" s="221" t="s">
        <v>734</v>
      </c>
      <c r="F17" s="116">
        <v>5</v>
      </c>
      <c r="G17" s="231">
        <f t="shared" si="0"/>
        <v>10</v>
      </c>
      <c r="H17" s="232">
        <f t="shared" si="1"/>
        <v>-5</v>
      </c>
      <c r="I17" s="116">
        <v>12</v>
      </c>
      <c r="J17" s="116">
        <v>6</v>
      </c>
      <c r="K17" s="101"/>
      <c r="L17" s="101"/>
      <c r="M17" s="101">
        <v>0</v>
      </c>
      <c r="N17" s="204">
        <v>2</v>
      </c>
      <c r="O17" s="208" t="s">
        <v>744</v>
      </c>
      <c r="P17" s="72">
        <v>2</v>
      </c>
      <c r="Q17" s="72">
        <v>-1</v>
      </c>
      <c r="R17" s="225" t="s">
        <v>721</v>
      </c>
      <c r="S17" s="117"/>
      <c r="T17" s="72"/>
    </row>
    <row r="18" spans="1:20" s="25" customFormat="1" ht="15" customHeight="1">
      <c r="A18" s="201" t="s">
        <v>543</v>
      </c>
      <c r="B18" s="202"/>
      <c r="C18" s="113"/>
      <c r="D18" s="113"/>
      <c r="E18" s="227"/>
      <c r="F18" s="113"/>
      <c r="G18" s="231">
        <f t="shared" si="0"/>
        <v>2</v>
      </c>
      <c r="H18" s="232">
        <f t="shared" si="1"/>
        <v>0</v>
      </c>
      <c r="I18" s="233"/>
      <c r="J18" s="233"/>
      <c r="K18" s="222"/>
      <c r="L18" s="222"/>
      <c r="M18" s="222"/>
      <c r="N18" s="205"/>
      <c r="O18" s="209"/>
      <c r="P18" s="113"/>
      <c r="Q18" s="113"/>
      <c r="R18" s="203"/>
      <c r="S18" s="202"/>
      <c r="T18" s="113"/>
    </row>
    <row r="19" spans="1:20" ht="31.5">
      <c r="A19" s="114" t="s">
        <v>63</v>
      </c>
      <c r="B19" s="117" t="s">
        <v>750</v>
      </c>
      <c r="C19" s="116">
        <v>2</v>
      </c>
      <c r="D19" s="116">
        <v>7</v>
      </c>
      <c r="E19" s="221" t="s">
        <v>751</v>
      </c>
      <c r="F19" s="116">
        <v>5</v>
      </c>
      <c r="G19" s="231">
        <f t="shared" si="0"/>
        <v>13</v>
      </c>
      <c r="H19" s="232">
        <f t="shared" si="1"/>
        <v>-3</v>
      </c>
      <c r="I19" s="116">
        <v>10</v>
      </c>
      <c r="J19" s="116">
        <v>5</v>
      </c>
      <c r="K19" s="101" t="s">
        <v>991</v>
      </c>
      <c r="L19" s="101">
        <v>2</v>
      </c>
      <c r="M19" s="101">
        <v>1</v>
      </c>
      <c r="N19" s="204">
        <v>3</v>
      </c>
      <c r="O19" s="208" t="s">
        <v>747</v>
      </c>
      <c r="P19" s="72">
        <v>3</v>
      </c>
      <c r="Q19" s="72">
        <v>-1</v>
      </c>
      <c r="R19" s="225" t="s">
        <v>748</v>
      </c>
      <c r="S19" s="117"/>
      <c r="T19" s="72"/>
    </row>
    <row r="20" spans="1:20" ht="15" customHeight="1">
      <c r="A20" s="114" t="s">
        <v>69</v>
      </c>
      <c r="B20" s="115" t="s">
        <v>8</v>
      </c>
      <c r="C20" s="116">
        <v>2</v>
      </c>
      <c r="D20" s="116">
        <v>7</v>
      </c>
      <c r="E20" s="221">
        <v>5</v>
      </c>
      <c r="F20" s="116">
        <v>5</v>
      </c>
      <c r="G20" s="231">
        <f t="shared" si="0"/>
        <v>11</v>
      </c>
      <c r="H20" s="232">
        <f t="shared" si="1"/>
        <v>-6</v>
      </c>
      <c r="I20" s="116">
        <v>12</v>
      </c>
      <c r="J20" s="116">
        <v>6</v>
      </c>
      <c r="K20" s="101"/>
      <c r="L20" s="101"/>
      <c r="M20" s="101">
        <v>1</v>
      </c>
      <c r="N20" s="204">
        <v>2</v>
      </c>
      <c r="O20" s="208" t="s">
        <v>724</v>
      </c>
      <c r="P20" s="72">
        <v>1</v>
      </c>
      <c r="Q20" s="72">
        <v>-1</v>
      </c>
      <c r="R20" s="225" t="s">
        <v>721</v>
      </c>
      <c r="S20" s="117"/>
      <c r="T20" s="72"/>
    </row>
    <row r="21" spans="1:20" s="25" customFormat="1" ht="15" customHeight="1">
      <c r="A21" s="201" t="s">
        <v>555</v>
      </c>
      <c r="B21" s="202"/>
      <c r="C21" s="113"/>
      <c r="D21" s="113"/>
      <c r="E21" s="227"/>
      <c r="F21" s="113"/>
      <c r="G21" s="231">
        <f t="shared" si="0"/>
        <v>2</v>
      </c>
      <c r="H21" s="232">
        <f t="shared" si="1"/>
        <v>0</v>
      </c>
      <c r="I21" s="233"/>
      <c r="J21" s="233"/>
      <c r="K21" s="222"/>
      <c r="L21" s="222"/>
      <c r="M21" s="222"/>
      <c r="N21" s="205"/>
      <c r="O21" s="209"/>
      <c r="P21" s="113"/>
      <c r="Q21" s="113"/>
      <c r="R21" s="203"/>
      <c r="S21" s="202"/>
      <c r="T21" s="113"/>
    </row>
    <row r="22" spans="1:20" ht="31.5">
      <c r="A22" s="114" t="s">
        <v>80</v>
      </c>
      <c r="B22" s="115" t="s">
        <v>745</v>
      </c>
      <c r="C22" s="116">
        <v>2</v>
      </c>
      <c r="D22" s="116" t="s">
        <v>924</v>
      </c>
      <c r="E22" s="221" t="s">
        <v>746</v>
      </c>
      <c r="F22" s="116">
        <v>7</v>
      </c>
      <c r="G22" s="231">
        <f t="shared" si="0"/>
        <v>13</v>
      </c>
      <c r="H22" s="232">
        <f t="shared" si="1"/>
        <v>-3</v>
      </c>
      <c r="I22" s="116">
        <v>10</v>
      </c>
      <c r="J22" s="116">
        <v>5</v>
      </c>
      <c r="K22" s="101" t="s">
        <v>991</v>
      </c>
      <c r="L22" s="101">
        <v>2</v>
      </c>
      <c r="M22" s="101">
        <v>1</v>
      </c>
      <c r="N22" s="204">
        <v>3</v>
      </c>
      <c r="O22" s="208" t="s">
        <v>747</v>
      </c>
      <c r="P22" s="72">
        <v>3</v>
      </c>
      <c r="Q22" s="72">
        <v>-1</v>
      </c>
      <c r="R22" s="225" t="s">
        <v>748</v>
      </c>
      <c r="S22" s="117"/>
      <c r="T22" s="72"/>
    </row>
    <row r="23" spans="1:20" ht="15" customHeight="1">
      <c r="A23" s="114" t="s">
        <v>66</v>
      </c>
      <c r="B23" s="115" t="s">
        <v>8</v>
      </c>
      <c r="C23" s="116">
        <v>2</v>
      </c>
      <c r="D23" s="116" t="s">
        <v>749</v>
      </c>
      <c r="E23" s="221" t="s">
        <v>731</v>
      </c>
      <c r="F23" s="116">
        <v>5</v>
      </c>
      <c r="G23" s="231">
        <f t="shared" si="0"/>
        <v>11</v>
      </c>
      <c r="H23" s="232">
        <f t="shared" si="1"/>
        <v>-6</v>
      </c>
      <c r="I23" s="116">
        <v>13</v>
      </c>
      <c r="J23" s="116">
        <v>6</v>
      </c>
      <c r="K23" s="101"/>
      <c r="L23" s="101"/>
      <c r="M23" s="101">
        <v>1</v>
      </c>
      <c r="N23" s="204">
        <v>2</v>
      </c>
      <c r="O23" s="208" t="s">
        <v>720</v>
      </c>
      <c r="P23" s="72">
        <v>1</v>
      </c>
      <c r="Q23" s="72">
        <v>-1</v>
      </c>
      <c r="R23" s="225" t="s">
        <v>721</v>
      </c>
      <c r="S23" s="117"/>
      <c r="T23" s="72"/>
    </row>
    <row r="24" spans="1:20" s="25" customFormat="1" ht="15" customHeight="1">
      <c r="A24" s="201" t="s">
        <v>567</v>
      </c>
      <c r="B24" s="202"/>
      <c r="C24" s="113"/>
      <c r="D24" s="113"/>
      <c r="E24" s="227"/>
      <c r="F24" s="113"/>
      <c r="G24" s="231">
        <f t="shared" si="0"/>
        <v>2</v>
      </c>
      <c r="H24" s="232">
        <f t="shared" si="1"/>
        <v>0</v>
      </c>
      <c r="I24" s="233"/>
      <c r="J24" s="233"/>
      <c r="K24" s="222"/>
      <c r="L24" s="222"/>
      <c r="M24" s="222"/>
      <c r="N24" s="205"/>
      <c r="O24" s="209"/>
      <c r="P24" s="113"/>
      <c r="Q24" s="113"/>
      <c r="R24" s="203"/>
      <c r="S24" s="202"/>
      <c r="T24" s="113"/>
    </row>
    <row r="25" spans="1:20" ht="15" customHeight="1">
      <c r="A25" s="114" t="s">
        <v>796</v>
      </c>
      <c r="B25" s="117" t="s">
        <v>12</v>
      </c>
      <c r="C25" s="116">
        <v>2</v>
      </c>
      <c r="D25" s="116" t="s">
        <v>885</v>
      </c>
      <c r="E25" s="221" t="s">
        <v>64</v>
      </c>
      <c r="F25" s="116">
        <v>7</v>
      </c>
      <c r="G25" s="231">
        <f t="shared" si="0"/>
        <v>9</v>
      </c>
      <c r="H25" s="232">
        <f t="shared" si="1"/>
        <v>-6</v>
      </c>
      <c r="I25" s="116">
        <v>15</v>
      </c>
      <c r="J25" s="116">
        <v>7</v>
      </c>
      <c r="K25" s="101"/>
      <c r="L25" s="101"/>
      <c r="M25" s="101">
        <v>-2</v>
      </c>
      <c r="N25" s="204">
        <v>2</v>
      </c>
      <c r="O25" s="208" t="s">
        <v>886</v>
      </c>
      <c r="P25" s="72">
        <v>2</v>
      </c>
      <c r="Q25" s="72">
        <v>-1</v>
      </c>
      <c r="R25" s="225" t="s">
        <v>729</v>
      </c>
      <c r="S25" s="117"/>
      <c r="T25" s="72"/>
    </row>
    <row r="26" spans="1:20" s="25" customFormat="1" ht="15" customHeight="1">
      <c r="A26" s="201" t="s">
        <v>571</v>
      </c>
      <c r="B26" s="202"/>
      <c r="C26" s="113"/>
      <c r="D26" s="113"/>
      <c r="E26" s="227"/>
      <c r="F26" s="113"/>
      <c r="G26" s="231">
        <f t="shared" si="0"/>
        <v>2</v>
      </c>
      <c r="H26" s="232">
        <f t="shared" si="1"/>
        <v>0</v>
      </c>
      <c r="I26" s="233"/>
      <c r="J26" s="233"/>
      <c r="K26" s="222"/>
      <c r="L26" s="222"/>
      <c r="M26" s="222"/>
      <c r="N26" s="205"/>
      <c r="O26" s="209"/>
      <c r="P26" s="113"/>
      <c r="Q26" s="113"/>
      <c r="R26" s="203"/>
      <c r="S26" s="202"/>
      <c r="T26" s="113"/>
    </row>
    <row r="27" spans="1:20" ht="31.5">
      <c r="A27" s="114" t="s">
        <v>61</v>
      </c>
      <c r="B27" s="117" t="s">
        <v>750</v>
      </c>
      <c r="C27" s="116" t="s">
        <v>738</v>
      </c>
      <c r="D27" s="116" t="s">
        <v>752</v>
      </c>
      <c r="E27" s="221" t="s">
        <v>927</v>
      </c>
      <c r="F27" s="116">
        <v>5</v>
      </c>
      <c r="G27" s="231">
        <f t="shared" si="0"/>
        <v>13</v>
      </c>
      <c r="H27" s="232">
        <f t="shared" si="1"/>
        <v>-2</v>
      </c>
      <c r="I27" s="116">
        <v>8</v>
      </c>
      <c r="J27" s="116">
        <v>4</v>
      </c>
      <c r="K27" s="101" t="s">
        <v>991</v>
      </c>
      <c r="L27" s="101">
        <v>2</v>
      </c>
      <c r="M27" s="101">
        <v>1</v>
      </c>
      <c r="N27" s="204">
        <v>4</v>
      </c>
      <c r="O27" s="208" t="s">
        <v>651</v>
      </c>
      <c r="P27" s="72">
        <v>3</v>
      </c>
      <c r="Q27" s="72">
        <v>-1</v>
      </c>
      <c r="R27" s="225" t="s">
        <v>753</v>
      </c>
      <c r="S27" s="117"/>
      <c r="T27" s="72"/>
    </row>
    <row r="28" spans="1:20" ht="15" customHeight="1">
      <c r="A28" s="114" t="s">
        <v>57</v>
      </c>
      <c r="B28" s="115" t="s">
        <v>8</v>
      </c>
      <c r="C28" s="116">
        <v>2</v>
      </c>
      <c r="D28" s="116" t="s">
        <v>754</v>
      </c>
      <c r="E28" s="221" t="s">
        <v>735</v>
      </c>
      <c r="F28" s="116">
        <v>6</v>
      </c>
      <c r="G28" s="231">
        <f t="shared" si="0"/>
        <v>13</v>
      </c>
      <c r="H28" s="232">
        <f t="shared" si="1"/>
        <v>-6</v>
      </c>
      <c r="I28" s="116">
        <v>12</v>
      </c>
      <c r="J28" s="116">
        <v>6</v>
      </c>
      <c r="K28" s="101"/>
      <c r="L28" s="101"/>
      <c r="M28" s="101">
        <v>1</v>
      </c>
      <c r="N28" s="204">
        <v>4</v>
      </c>
      <c r="O28" s="208" t="s">
        <v>755</v>
      </c>
      <c r="P28" s="72">
        <v>1</v>
      </c>
      <c r="Q28" s="72">
        <v>-1</v>
      </c>
      <c r="R28" s="225" t="s">
        <v>721</v>
      </c>
      <c r="S28" s="117"/>
      <c r="T28" s="72"/>
    </row>
    <row r="29" spans="1:20" s="25" customFormat="1" ht="15" customHeight="1">
      <c r="A29" s="201" t="s">
        <v>756</v>
      </c>
      <c r="B29" s="202"/>
      <c r="C29" s="113"/>
      <c r="D29" s="113"/>
      <c r="E29" s="227"/>
      <c r="F29" s="113"/>
      <c r="G29" s="231">
        <f t="shared" si="0"/>
        <v>2</v>
      </c>
      <c r="H29" s="232">
        <f t="shared" si="1"/>
        <v>0</v>
      </c>
      <c r="I29" s="233"/>
      <c r="J29" s="233"/>
      <c r="K29" s="222"/>
      <c r="L29" s="222"/>
      <c r="M29" s="222"/>
      <c r="N29" s="205"/>
      <c r="O29" s="209"/>
      <c r="P29" s="113"/>
      <c r="Q29" s="113"/>
      <c r="R29" s="203"/>
      <c r="S29" s="202"/>
      <c r="T29" s="113"/>
    </row>
    <row r="30" spans="1:20" ht="15" customHeight="1">
      <c r="A30" s="114" t="s">
        <v>757</v>
      </c>
      <c r="B30" s="115" t="s">
        <v>8</v>
      </c>
      <c r="C30" s="116">
        <v>2</v>
      </c>
      <c r="D30" s="116" t="s">
        <v>730</v>
      </c>
      <c r="E30" s="221" t="s">
        <v>731</v>
      </c>
      <c r="F30" s="116">
        <v>3</v>
      </c>
      <c r="G30" s="231">
        <f t="shared" si="0"/>
        <v>4</v>
      </c>
      <c r="H30" s="232">
        <f t="shared" si="1"/>
        <v>-3</v>
      </c>
      <c r="I30" s="116">
        <v>9</v>
      </c>
      <c r="J30" s="116">
        <v>4</v>
      </c>
      <c r="K30" s="101"/>
      <c r="L30" s="101"/>
      <c r="M30" s="101">
        <v>-3</v>
      </c>
      <c r="N30" s="204">
        <v>1</v>
      </c>
      <c r="O30" s="208" t="s">
        <v>125</v>
      </c>
      <c r="P30" s="72">
        <v>1</v>
      </c>
      <c r="Q30" s="72">
        <v>-1</v>
      </c>
      <c r="R30" s="225" t="s">
        <v>758</v>
      </c>
      <c r="S30" s="117" t="s">
        <v>759</v>
      </c>
      <c r="T30" s="72">
        <v>1</v>
      </c>
    </row>
    <row r="31" spans="1:20" ht="15" customHeight="1">
      <c r="A31" s="114" t="s">
        <v>579</v>
      </c>
      <c r="B31" s="115" t="s">
        <v>12</v>
      </c>
      <c r="C31" s="116">
        <v>1</v>
      </c>
      <c r="D31" s="116" t="s">
        <v>760</v>
      </c>
      <c r="E31" s="221" t="s">
        <v>761</v>
      </c>
      <c r="F31" s="116">
        <v>8</v>
      </c>
      <c r="G31" s="231">
        <f t="shared" si="0"/>
        <v>18</v>
      </c>
      <c r="H31" s="232">
        <f t="shared" si="1"/>
        <v>-7</v>
      </c>
      <c r="I31" s="116">
        <v>15</v>
      </c>
      <c r="J31" s="116">
        <v>7</v>
      </c>
      <c r="K31" s="101"/>
      <c r="L31" s="101"/>
      <c r="M31" s="101">
        <v>4</v>
      </c>
      <c r="N31" s="204">
        <v>5</v>
      </c>
      <c r="O31" s="208" t="s">
        <v>762</v>
      </c>
      <c r="P31" s="72">
        <v>2</v>
      </c>
      <c r="Q31" s="72">
        <v>-1</v>
      </c>
      <c r="R31" s="225" t="s">
        <v>763</v>
      </c>
      <c r="S31" s="117" t="s">
        <v>764</v>
      </c>
      <c r="T31" s="72">
        <v>-1</v>
      </c>
    </row>
    <row r="32" spans="1:20" ht="15" customHeight="1">
      <c r="A32" s="114" t="s">
        <v>701</v>
      </c>
      <c r="B32" s="115" t="s">
        <v>16</v>
      </c>
      <c r="C32" s="116">
        <v>2</v>
      </c>
      <c r="D32" s="116" t="s">
        <v>765</v>
      </c>
      <c r="E32" s="221" t="s">
        <v>730</v>
      </c>
      <c r="F32" s="116">
        <v>9</v>
      </c>
      <c r="G32" s="231">
        <f t="shared" si="0"/>
        <v>18</v>
      </c>
      <c r="H32" s="232">
        <f t="shared" si="1"/>
        <v>-7</v>
      </c>
      <c r="I32" s="116">
        <v>14</v>
      </c>
      <c r="J32" s="116">
        <v>7</v>
      </c>
      <c r="K32" s="101"/>
      <c r="L32" s="101"/>
      <c r="M32" s="101">
        <v>4</v>
      </c>
      <c r="N32" s="204">
        <v>5</v>
      </c>
      <c r="O32" s="208" t="s">
        <v>744</v>
      </c>
      <c r="P32" s="72">
        <v>2</v>
      </c>
      <c r="Q32" s="72">
        <v>-1</v>
      </c>
      <c r="R32" s="225" t="s">
        <v>763</v>
      </c>
      <c r="S32" s="117" t="s">
        <v>764</v>
      </c>
      <c r="T32" s="72">
        <v>-1</v>
      </c>
    </row>
    <row r="33" spans="1:17" ht="15" customHeight="1">
      <c r="A33" s="183" t="s">
        <v>879</v>
      </c>
      <c r="B33" s="184" t="s">
        <v>870</v>
      </c>
      <c r="C33" s="185">
        <v>1</v>
      </c>
      <c r="G33" s="231">
        <f t="shared" si="0"/>
        <v>16</v>
      </c>
      <c r="H33" s="232">
        <f t="shared" si="1"/>
        <v>-6</v>
      </c>
      <c r="I33" s="185">
        <v>10</v>
      </c>
      <c r="J33" s="185">
        <v>5</v>
      </c>
      <c r="M33" s="61">
        <v>3</v>
      </c>
      <c r="N33" s="210">
        <v>6</v>
      </c>
      <c r="Q33" s="186">
        <v>-1</v>
      </c>
    </row>
    <row r="34" spans="1:17" ht="15" customHeight="1">
      <c r="A34" s="183" t="s">
        <v>925</v>
      </c>
      <c r="B34" s="184" t="s">
        <v>632</v>
      </c>
      <c r="C34" s="185">
        <v>1</v>
      </c>
      <c r="G34" s="231">
        <f t="shared" si="0"/>
        <v>17</v>
      </c>
      <c r="H34" s="232">
        <f t="shared" si="1"/>
        <v>-5</v>
      </c>
      <c r="I34" s="185">
        <v>8</v>
      </c>
      <c r="J34" s="185">
        <v>4</v>
      </c>
      <c r="M34" s="61">
        <v>3</v>
      </c>
      <c r="N34" s="210">
        <v>8</v>
      </c>
      <c r="Q34" s="186">
        <v>-1</v>
      </c>
    </row>
  </sheetData>
  <conditionalFormatting sqref="H3:H34">
    <cfRule type="expression" priority="1" dxfId="0" stopIfTrue="1">
      <formula>$J3=""</formula>
    </cfRule>
  </conditionalFormatting>
  <conditionalFormatting sqref="G3:G34">
    <cfRule type="expression" priority="2" dxfId="0" stopIfTrue="1">
      <formula>$N3=""</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8"/>
  </sheetPr>
  <dimension ref="A1:L11"/>
  <sheetViews>
    <sheetView workbookViewId="0" topLeftCell="A1">
      <selection activeCell="E28" sqref="E28"/>
    </sheetView>
  </sheetViews>
  <sheetFormatPr defaultColWidth="9.140625" defaultRowHeight="12.75"/>
  <cols>
    <col min="9" max="9" width="4.57421875" style="0" customWidth="1"/>
    <col min="10" max="10" width="27.7109375" style="0" bestFit="1" customWidth="1"/>
    <col min="11" max="11" width="29.00390625" style="0" bestFit="1" customWidth="1"/>
  </cols>
  <sheetData>
    <row r="1" spans="1:12" ht="12.75">
      <c r="A1" s="45"/>
      <c r="B1" s="47" t="s">
        <v>271</v>
      </c>
      <c r="C1" s="47" t="s">
        <v>815</v>
      </c>
      <c r="D1" s="47" t="s">
        <v>403</v>
      </c>
      <c r="E1" s="47" t="s">
        <v>449</v>
      </c>
      <c r="F1" s="47"/>
      <c r="G1" s="49" t="s">
        <v>816</v>
      </c>
      <c r="H1" s="49" t="s">
        <v>817</v>
      </c>
      <c r="I1" s="49"/>
      <c r="J1" s="45" t="s">
        <v>818</v>
      </c>
      <c r="K1" s="45" t="s">
        <v>819</v>
      </c>
      <c r="L1" s="45" t="s">
        <v>820</v>
      </c>
    </row>
    <row r="2" spans="1:9" ht="12.75">
      <c r="A2" s="45"/>
      <c r="B2" s="47"/>
      <c r="C2" s="47"/>
      <c r="D2" s="47"/>
      <c r="E2" s="5"/>
      <c r="F2" s="5"/>
      <c r="G2" s="49" t="s">
        <v>821</v>
      </c>
      <c r="H2" s="142"/>
      <c r="I2" s="142"/>
    </row>
    <row r="3" spans="1:12" ht="12.75">
      <c r="A3" s="45" t="s">
        <v>22</v>
      </c>
      <c r="B3" s="52"/>
      <c r="C3" s="52" t="s">
        <v>2</v>
      </c>
      <c r="D3" s="52" t="s">
        <v>2</v>
      </c>
      <c r="E3" s="52"/>
      <c r="F3" s="52"/>
      <c r="G3" s="10">
        <v>1</v>
      </c>
      <c r="H3" s="142">
        <f>G3*300000</f>
        <v>300000</v>
      </c>
      <c r="I3" s="142"/>
      <c r="J3" s="2" t="s">
        <v>822</v>
      </c>
      <c r="K3" s="2" t="s">
        <v>823</v>
      </c>
      <c r="L3" s="2"/>
    </row>
    <row r="4" spans="1:12" ht="12.75">
      <c r="A4" s="45" t="s">
        <v>230</v>
      </c>
      <c r="B4" s="52"/>
      <c r="C4" s="52"/>
      <c r="D4" s="52"/>
      <c r="E4" s="52"/>
      <c r="F4" s="52"/>
      <c r="G4" s="10">
        <v>1</v>
      </c>
      <c r="H4" s="142">
        <f aca="true" t="shared" si="0" ref="H4:H11">G4*300000</f>
        <v>300000</v>
      </c>
      <c r="I4" s="142"/>
      <c r="J4" s="2" t="s">
        <v>822</v>
      </c>
      <c r="K4" s="2" t="s">
        <v>823</v>
      </c>
      <c r="L4" s="2"/>
    </row>
    <row r="5" spans="1:12" ht="12.75">
      <c r="A5" s="45" t="s">
        <v>482</v>
      </c>
      <c r="B5" s="52"/>
      <c r="C5" s="52" t="s">
        <v>2</v>
      </c>
      <c r="D5" s="52"/>
      <c r="E5" s="52"/>
      <c r="F5" s="52"/>
      <c r="G5" s="10">
        <v>1</v>
      </c>
      <c r="H5" s="142">
        <f t="shared" si="0"/>
        <v>300000</v>
      </c>
      <c r="I5" s="142"/>
      <c r="J5" s="2" t="s">
        <v>822</v>
      </c>
      <c r="K5" s="2" t="s">
        <v>824</v>
      </c>
      <c r="L5" s="2"/>
    </row>
    <row r="6" spans="1:12" ht="12.75">
      <c r="A6" s="45" t="s">
        <v>4</v>
      </c>
      <c r="B6" s="52" t="s">
        <v>2</v>
      </c>
      <c r="C6" s="52" t="s">
        <v>2</v>
      </c>
      <c r="D6" s="52"/>
      <c r="E6" s="52"/>
      <c r="F6" s="52"/>
      <c r="G6" s="143">
        <v>0.1</v>
      </c>
      <c r="H6" s="142">
        <f t="shared" si="0"/>
        <v>30000</v>
      </c>
      <c r="I6" s="142"/>
      <c r="J6" s="2" t="s">
        <v>825</v>
      </c>
      <c r="K6" s="2" t="s">
        <v>826</v>
      </c>
      <c r="L6" s="2" t="s">
        <v>827</v>
      </c>
    </row>
    <row r="7" spans="1:12" ht="12.75">
      <c r="A7" s="45" t="s">
        <v>131</v>
      </c>
      <c r="B7" s="52" t="s">
        <v>2</v>
      </c>
      <c r="C7" s="52" t="s">
        <v>2</v>
      </c>
      <c r="D7" s="52"/>
      <c r="E7" s="52" t="s">
        <v>2</v>
      </c>
      <c r="F7" s="52"/>
      <c r="G7" s="143">
        <v>0.01</v>
      </c>
      <c r="H7" s="142">
        <f t="shared" si="0"/>
        <v>3000</v>
      </c>
      <c r="I7" s="142"/>
      <c r="J7" s="2" t="s">
        <v>828</v>
      </c>
      <c r="K7" s="2" t="s">
        <v>829</v>
      </c>
      <c r="L7" s="2" t="s">
        <v>827</v>
      </c>
    </row>
    <row r="8" spans="1:11" ht="12.75">
      <c r="A8" s="45" t="s">
        <v>31</v>
      </c>
      <c r="B8" s="52" t="s">
        <v>2</v>
      </c>
      <c r="C8" s="52"/>
      <c r="D8" s="52"/>
      <c r="E8" s="52"/>
      <c r="F8" s="52"/>
      <c r="G8" s="143">
        <v>0.001</v>
      </c>
      <c r="H8" s="142">
        <f t="shared" si="0"/>
        <v>300</v>
      </c>
      <c r="I8" s="142"/>
      <c r="J8" s="2" t="s">
        <v>830</v>
      </c>
      <c r="K8" s="2" t="s">
        <v>831</v>
      </c>
    </row>
    <row r="9" spans="1:12" ht="12.75">
      <c r="A9" s="45" t="s">
        <v>56</v>
      </c>
      <c r="B9" s="52" t="s">
        <v>2</v>
      </c>
      <c r="C9" s="52"/>
      <c r="D9" s="52"/>
      <c r="E9" s="52" t="s">
        <v>2</v>
      </c>
      <c r="F9" s="52"/>
      <c r="G9" s="143">
        <v>2E-05</v>
      </c>
      <c r="H9" s="142">
        <f t="shared" si="0"/>
        <v>6.000000000000001</v>
      </c>
      <c r="I9" s="142"/>
      <c r="J9" s="2" t="s">
        <v>832</v>
      </c>
      <c r="K9" s="2" t="s">
        <v>833</v>
      </c>
      <c r="L9" s="2" t="s">
        <v>834</v>
      </c>
    </row>
    <row r="10" spans="1:11" ht="12.75">
      <c r="A10" s="45" t="s">
        <v>262</v>
      </c>
      <c r="B10" s="52" t="s">
        <v>2</v>
      </c>
      <c r="C10" s="52"/>
      <c r="D10" s="52" t="s">
        <v>2</v>
      </c>
      <c r="E10" s="52"/>
      <c r="F10" s="52"/>
      <c r="G10" s="143">
        <v>1E-05</v>
      </c>
      <c r="H10" s="142">
        <f t="shared" si="0"/>
        <v>3.0000000000000004</v>
      </c>
      <c r="I10" s="142"/>
      <c r="J10" s="2" t="s">
        <v>835</v>
      </c>
      <c r="K10" s="2" t="s">
        <v>836</v>
      </c>
    </row>
    <row r="11" spans="1:10" ht="12.75">
      <c r="A11" s="45" t="s">
        <v>45</v>
      </c>
      <c r="B11" s="52" t="s">
        <v>2</v>
      </c>
      <c r="C11" s="52"/>
      <c r="D11" s="52" t="s">
        <v>2</v>
      </c>
      <c r="E11" s="52" t="s">
        <v>2</v>
      </c>
      <c r="F11" s="52"/>
      <c r="G11" s="144">
        <v>1E-07</v>
      </c>
      <c r="H11" s="142">
        <f t="shared" si="0"/>
        <v>0.03</v>
      </c>
      <c r="I11" s="142"/>
      <c r="J11" s="2" t="s">
        <v>837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20"/>
  </sheetPr>
  <dimension ref="A1:AE97"/>
  <sheetViews>
    <sheetView workbookViewId="0" topLeftCell="A1">
      <selection activeCell="F8" sqref="F8"/>
    </sheetView>
  </sheetViews>
  <sheetFormatPr defaultColWidth="9.140625" defaultRowHeight="12.75"/>
  <cols>
    <col min="2" max="2" width="18.421875" style="0" customWidth="1"/>
    <col min="3" max="3" width="10.00390625" style="0" customWidth="1"/>
    <col min="6" max="6" width="12.421875" style="0" bestFit="1" customWidth="1"/>
    <col min="7" max="7" width="18.8515625" style="0" customWidth="1"/>
    <col min="20" max="20" width="10.421875" style="0" customWidth="1"/>
  </cols>
  <sheetData>
    <row r="1" spans="2:26" ht="13.5" thickBot="1">
      <c r="B1" s="146" t="s">
        <v>1017</v>
      </c>
      <c r="O1" s="5"/>
      <c r="P1" s="5"/>
      <c r="Q1" s="5"/>
      <c r="Z1" s="5"/>
    </row>
    <row r="2" spans="7:26" ht="12.75">
      <c r="G2" s="254" t="s">
        <v>839</v>
      </c>
      <c r="H2" s="255"/>
      <c r="I2" s="255"/>
      <c r="J2" s="255"/>
      <c r="K2" s="256"/>
      <c r="M2" s="254" t="s">
        <v>840</v>
      </c>
      <c r="N2" s="255"/>
      <c r="O2" s="265"/>
      <c r="P2" s="265"/>
      <c r="Q2" s="156"/>
      <c r="Z2" s="5"/>
    </row>
    <row r="3" spans="2:26" ht="12.75">
      <c r="B3" t="s">
        <v>838</v>
      </c>
      <c r="C3">
        <v>4</v>
      </c>
      <c r="G3" s="257"/>
      <c r="H3" s="100"/>
      <c r="I3" s="100"/>
      <c r="J3" s="100"/>
      <c r="K3" s="158"/>
      <c r="M3" s="159"/>
      <c r="N3" s="100"/>
      <c r="O3" s="250"/>
      <c r="P3" s="250"/>
      <c r="Q3" s="163"/>
      <c r="Z3" s="5"/>
    </row>
    <row r="4" spans="2:31" ht="12.75">
      <c r="B4" t="s">
        <v>73</v>
      </c>
      <c r="C4">
        <v>10</v>
      </c>
      <c r="E4" s="147"/>
      <c r="F4" s="147"/>
      <c r="G4" s="258" t="s">
        <v>842</v>
      </c>
      <c r="H4" s="248" t="s">
        <v>473</v>
      </c>
      <c r="I4" s="249" t="s">
        <v>687</v>
      </c>
      <c r="J4" s="249" t="s">
        <v>467</v>
      </c>
      <c r="K4" s="162" t="s">
        <v>54</v>
      </c>
      <c r="M4" s="266" t="s">
        <v>464</v>
      </c>
      <c r="N4" s="100"/>
      <c r="O4" s="249" t="s">
        <v>687</v>
      </c>
      <c r="P4" s="249" t="s">
        <v>467</v>
      </c>
      <c r="Q4" s="162" t="s">
        <v>54</v>
      </c>
      <c r="T4" s="45"/>
      <c r="U4" s="47" t="s">
        <v>55</v>
      </c>
      <c r="V4" s="47" t="s">
        <v>155</v>
      </c>
      <c r="W4" s="148" t="s">
        <v>8</v>
      </c>
      <c r="X4" s="148" t="s">
        <v>12</v>
      </c>
      <c r="Y4" s="148" t="s">
        <v>16</v>
      </c>
      <c r="Z4" s="148" t="s">
        <v>213</v>
      </c>
      <c r="AB4" s="47" t="s">
        <v>271</v>
      </c>
      <c r="AC4" s="47" t="s">
        <v>815</v>
      </c>
      <c r="AD4" s="47" t="s">
        <v>403</v>
      </c>
      <c r="AE4" s="47" t="s">
        <v>449</v>
      </c>
    </row>
    <row r="5" spans="2:31" ht="12.75">
      <c r="B5" t="s">
        <v>841</v>
      </c>
      <c r="C5">
        <v>1.07</v>
      </c>
      <c r="E5" s="147"/>
      <c r="F5" s="149"/>
      <c r="G5" s="257"/>
      <c r="H5" s="100"/>
      <c r="I5" s="250"/>
      <c r="J5" s="250"/>
      <c r="K5" s="163"/>
      <c r="M5" s="159"/>
      <c r="N5" s="100"/>
      <c r="O5" s="250"/>
      <c r="P5" s="250"/>
      <c r="Q5" s="163"/>
      <c r="T5" s="45"/>
      <c r="U5" s="45"/>
      <c r="V5" s="45"/>
      <c r="W5" s="3"/>
      <c r="X5" s="3"/>
      <c r="Y5" s="3"/>
      <c r="Z5" s="3"/>
      <c r="AB5" s="47"/>
      <c r="AC5" s="47"/>
      <c r="AD5" s="47"/>
      <c r="AE5" s="5"/>
    </row>
    <row r="6" spans="2:31" ht="12.75">
      <c r="B6" t="s">
        <v>482</v>
      </c>
      <c r="C6">
        <v>1.1</v>
      </c>
      <c r="E6" s="143"/>
      <c r="F6" s="142"/>
      <c r="G6" s="259" t="s">
        <v>822</v>
      </c>
      <c r="H6" s="251" t="s">
        <v>22</v>
      </c>
      <c r="I6" s="252">
        <v>0</v>
      </c>
      <c r="J6" s="252">
        <v>2</v>
      </c>
      <c r="K6" s="260">
        <v>3</v>
      </c>
      <c r="M6" s="267"/>
      <c r="N6" s="100" t="s">
        <v>54</v>
      </c>
      <c r="O6" s="250">
        <v>0</v>
      </c>
      <c r="P6" s="250">
        <v>0</v>
      </c>
      <c r="Q6" s="163">
        <v>0</v>
      </c>
      <c r="T6" s="28" t="s">
        <v>22</v>
      </c>
      <c r="U6" s="10" t="s">
        <v>54</v>
      </c>
      <c r="V6" s="3" t="s">
        <v>212</v>
      </c>
      <c r="W6" s="3" t="s">
        <v>212</v>
      </c>
      <c r="X6" s="3" t="s">
        <v>212</v>
      </c>
      <c r="Y6" s="3" t="s">
        <v>212</v>
      </c>
      <c r="Z6" s="3" t="s">
        <v>212</v>
      </c>
      <c r="AB6" s="52"/>
      <c r="AC6" s="52" t="s">
        <v>2</v>
      </c>
      <c r="AD6" s="52" t="s">
        <v>2</v>
      </c>
      <c r="AE6" s="52"/>
    </row>
    <row r="7" spans="2:31" ht="12.75">
      <c r="B7" t="s">
        <v>468</v>
      </c>
      <c r="C7">
        <v>1.07</v>
      </c>
      <c r="E7" s="143"/>
      <c r="F7" s="142"/>
      <c r="G7" s="259" t="s">
        <v>822</v>
      </c>
      <c r="H7" s="251" t="s">
        <v>232</v>
      </c>
      <c r="I7" s="252">
        <v>0</v>
      </c>
      <c r="J7" s="252">
        <v>2</v>
      </c>
      <c r="K7" s="260">
        <v>3</v>
      </c>
      <c r="M7" s="166" t="s">
        <v>910</v>
      </c>
      <c r="N7" s="251" t="s">
        <v>155</v>
      </c>
      <c r="O7" s="252">
        <v>0</v>
      </c>
      <c r="P7" s="252">
        <v>2</v>
      </c>
      <c r="Q7" s="260">
        <v>5</v>
      </c>
      <c r="T7" s="28" t="s">
        <v>232</v>
      </c>
      <c r="U7" s="10" t="s">
        <v>54</v>
      </c>
      <c r="V7" s="3" t="s">
        <v>212</v>
      </c>
      <c r="W7" s="3" t="s">
        <v>212</v>
      </c>
      <c r="X7" s="3" t="s">
        <v>212</v>
      </c>
      <c r="Y7" s="3" t="s">
        <v>212</v>
      </c>
      <c r="Z7" s="3" t="s">
        <v>212</v>
      </c>
      <c r="AB7" s="52"/>
      <c r="AC7" s="52"/>
      <c r="AD7" s="52"/>
      <c r="AE7" s="52"/>
    </row>
    <row r="8" spans="2:31" ht="12.75">
      <c r="B8" t="s">
        <v>500</v>
      </c>
      <c r="C8">
        <v>1</v>
      </c>
      <c r="E8" s="143"/>
      <c r="F8" s="142"/>
      <c r="G8" s="259" t="s">
        <v>822</v>
      </c>
      <c r="H8" s="253" t="s">
        <v>186</v>
      </c>
      <c r="I8" s="252">
        <v>0</v>
      </c>
      <c r="J8" s="252">
        <v>2</v>
      </c>
      <c r="K8" s="260">
        <v>3</v>
      </c>
      <c r="M8" s="166" t="s">
        <v>736</v>
      </c>
      <c r="N8" s="100" t="s">
        <v>251</v>
      </c>
      <c r="O8" s="250">
        <v>0</v>
      </c>
      <c r="P8" s="250">
        <v>2</v>
      </c>
      <c r="Q8" s="163">
        <v>4</v>
      </c>
      <c r="T8" s="2" t="s">
        <v>186</v>
      </c>
      <c r="U8" s="10" t="s">
        <v>54</v>
      </c>
      <c r="V8" s="3" t="s">
        <v>212</v>
      </c>
      <c r="W8" s="3" t="s">
        <v>212</v>
      </c>
      <c r="X8" s="3" t="s">
        <v>212</v>
      </c>
      <c r="Y8" s="3" t="s">
        <v>212</v>
      </c>
      <c r="Z8" s="3" t="s">
        <v>212</v>
      </c>
      <c r="AB8" s="52"/>
      <c r="AC8" s="52" t="s">
        <v>2</v>
      </c>
      <c r="AD8" s="52"/>
      <c r="AE8" s="52"/>
    </row>
    <row r="9" spans="2:31" ht="12.75">
      <c r="B9" t="s">
        <v>487</v>
      </c>
      <c r="C9">
        <v>0.7</v>
      </c>
      <c r="E9" s="143"/>
      <c r="F9" s="142"/>
      <c r="G9" s="259" t="s">
        <v>843</v>
      </c>
      <c r="H9" s="253" t="s">
        <v>4</v>
      </c>
      <c r="I9" s="252">
        <v>0</v>
      </c>
      <c r="J9" s="252">
        <v>1</v>
      </c>
      <c r="K9" s="260">
        <v>1</v>
      </c>
      <c r="M9" s="166" t="s">
        <v>914</v>
      </c>
      <c r="N9" s="251" t="s">
        <v>8</v>
      </c>
      <c r="O9" s="252">
        <v>0</v>
      </c>
      <c r="P9" s="252">
        <v>1</v>
      </c>
      <c r="Q9" s="260">
        <v>2</v>
      </c>
      <c r="T9" s="2" t="s">
        <v>4</v>
      </c>
      <c r="U9" s="10" t="s">
        <v>54</v>
      </c>
      <c r="V9" s="3" t="s">
        <v>44</v>
      </c>
      <c r="W9" s="3" t="s">
        <v>264</v>
      </c>
      <c r="X9" s="3" t="s">
        <v>11</v>
      </c>
      <c r="Y9" s="3" t="s">
        <v>15</v>
      </c>
      <c r="Z9" s="3" t="s">
        <v>212</v>
      </c>
      <c r="AB9" s="52" t="s">
        <v>2</v>
      </c>
      <c r="AC9" s="52" t="s">
        <v>2</v>
      </c>
      <c r="AD9" s="52"/>
      <c r="AE9" s="52"/>
    </row>
    <row r="10" spans="2:31" ht="12.75">
      <c r="B10" t="s">
        <v>488</v>
      </c>
      <c r="C10">
        <v>0.3</v>
      </c>
      <c r="E10" s="143"/>
      <c r="F10" s="142"/>
      <c r="G10" s="259" t="s">
        <v>844</v>
      </c>
      <c r="H10" s="253" t="s">
        <v>131</v>
      </c>
      <c r="I10" s="252">
        <v>-1</v>
      </c>
      <c r="J10" s="252">
        <v>0</v>
      </c>
      <c r="K10" s="260">
        <v>0</v>
      </c>
      <c r="M10" s="166" t="s">
        <v>916</v>
      </c>
      <c r="N10" s="251" t="s">
        <v>12</v>
      </c>
      <c r="O10" s="252">
        <v>0</v>
      </c>
      <c r="P10" s="252">
        <v>0</v>
      </c>
      <c r="Q10" s="260">
        <v>0</v>
      </c>
      <c r="T10" s="2" t="s">
        <v>131</v>
      </c>
      <c r="U10" s="10" t="s">
        <v>54</v>
      </c>
      <c r="V10" s="3" t="s">
        <v>845</v>
      </c>
      <c r="W10" s="3" t="s">
        <v>44</v>
      </c>
      <c r="X10" s="3" t="s">
        <v>264</v>
      </c>
      <c r="Y10" s="3" t="s">
        <v>11</v>
      </c>
      <c r="Z10" s="3" t="s">
        <v>15</v>
      </c>
      <c r="AB10" s="52" t="s">
        <v>2</v>
      </c>
      <c r="AC10" s="52" t="s">
        <v>2</v>
      </c>
      <c r="AD10" s="52"/>
      <c r="AE10" s="52" t="s">
        <v>2</v>
      </c>
    </row>
    <row r="11" spans="2:31" ht="12.75">
      <c r="B11" t="s">
        <v>169</v>
      </c>
      <c r="C11">
        <v>0.9</v>
      </c>
      <c r="E11" s="143"/>
      <c r="F11" s="142"/>
      <c r="G11" s="259" t="s">
        <v>847</v>
      </c>
      <c r="H11" s="253" t="s">
        <v>31</v>
      </c>
      <c r="I11" s="252">
        <v>-1</v>
      </c>
      <c r="J11" s="252">
        <v>-1</v>
      </c>
      <c r="K11" s="260">
        <v>-2</v>
      </c>
      <c r="M11" s="166" t="s">
        <v>911</v>
      </c>
      <c r="N11" s="251" t="s">
        <v>16</v>
      </c>
      <c r="O11" s="252">
        <v>1</v>
      </c>
      <c r="P11" s="252">
        <v>0</v>
      </c>
      <c r="Q11" s="260">
        <v>-1</v>
      </c>
      <c r="T11" s="2" t="s">
        <v>31</v>
      </c>
      <c r="U11" s="10" t="s">
        <v>54</v>
      </c>
      <c r="V11" s="3" t="s">
        <v>238</v>
      </c>
      <c r="W11" s="3" t="s">
        <v>845</v>
      </c>
      <c r="X11" s="3" t="s">
        <v>44</v>
      </c>
      <c r="Y11" s="3" t="s">
        <v>264</v>
      </c>
      <c r="Z11" s="3" t="s">
        <v>11</v>
      </c>
      <c r="AB11" s="52" t="s">
        <v>2</v>
      </c>
      <c r="AC11" s="52"/>
      <c r="AD11" s="52"/>
      <c r="AE11" s="52"/>
    </row>
    <row r="12" spans="2:31" ht="12.75">
      <c r="B12" t="s">
        <v>403</v>
      </c>
      <c r="C12">
        <v>1.05</v>
      </c>
      <c r="E12" s="143"/>
      <c r="F12" s="142"/>
      <c r="G12" s="259" t="s">
        <v>832</v>
      </c>
      <c r="H12" s="253" t="s">
        <v>56</v>
      </c>
      <c r="I12" s="252">
        <v>-2</v>
      </c>
      <c r="J12" s="252">
        <v>-2</v>
      </c>
      <c r="K12" s="260">
        <v>-3</v>
      </c>
      <c r="M12" s="166" t="s">
        <v>912</v>
      </c>
      <c r="N12" s="251" t="s">
        <v>213</v>
      </c>
      <c r="O12" s="252">
        <v>1</v>
      </c>
      <c r="P12" s="252">
        <v>-1</v>
      </c>
      <c r="Q12" s="260">
        <v>-1</v>
      </c>
      <c r="T12" s="2" t="s">
        <v>56</v>
      </c>
      <c r="U12" s="10" t="s">
        <v>54</v>
      </c>
      <c r="V12" s="150" t="s">
        <v>154</v>
      </c>
      <c r="W12" s="3" t="s">
        <v>238</v>
      </c>
      <c r="X12" s="3" t="s">
        <v>845</v>
      </c>
      <c r="Y12" s="3" t="s">
        <v>44</v>
      </c>
      <c r="Z12" s="3" t="s">
        <v>264</v>
      </c>
      <c r="AB12" s="52" t="s">
        <v>2</v>
      </c>
      <c r="AC12" s="52"/>
      <c r="AD12" s="52"/>
      <c r="AE12" s="52" t="s">
        <v>2</v>
      </c>
    </row>
    <row r="13" spans="2:31" ht="12.75">
      <c r="B13" t="s">
        <v>846</v>
      </c>
      <c r="C13">
        <v>1.8</v>
      </c>
      <c r="E13" s="143"/>
      <c r="F13" s="142"/>
      <c r="G13" s="259" t="s">
        <v>835</v>
      </c>
      <c r="H13" s="253" t="s">
        <v>262</v>
      </c>
      <c r="I13" s="252">
        <v>-2</v>
      </c>
      <c r="J13" s="252">
        <v>-2</v>
      </c>
      <c r="K13" s="260">
        <v>-3</v>
      </c>
      <c r="M13" s="166" t="s">
        <v>913</v>
      </c>
      <c r="N13" s="251" t="s">
        <v>593</v>
      </c>
      <c r="O13" s="252">
        <v>2</v>
      </c>
      <c r="P13" s="252">
        <v>-2</v>
      </c>
      <c r="Q13" s="260">
        <v>-3</v>
      </c>
      <c r="T13" s="2" t="s">
        <v>262</v>
      </c>
      <c r="U13" s="10" t="s">
        <v>54</v>
      </c>
      <c r="V13" s="150" t="s">
        <v>154</v>
      </c>
      <c r="W13" s="3" t="s">
        <v>238</v>
      </c>
      <c r="X13" s="3" t="s">
        <v>845</v>
      </c>
      <c r="Y13" s="3" t="s">
        <v>44</v>
      </c>
      <c r="Z13" s="3" t="s">
        <v>264</v>
      </c>
      <c r="AB13" s="52" t="s">
        <v>2</v>
      </c>
      <c r="AC13" s="52"/>
      <c r="AD13" s="52" t="s">
        <v>2</v>
      </c>
      <c r="AE13" s="52"/>
    </row>
    <row r="14" spans="2:31" ht="13.5" thickBot="1">
      <c r="B14" t="s">
        <v>224</v>
      </c>
      <c r="C14">
        <v>1</v>
      </c>
      <c r="E14" s="144"/>
      <c r="F14" s="142"/>
      <c r="G14" s="261" t="s">
        <v>848</v>
      </c>
      <c r="H14" s="262" t="s">
        <v>45</v>
      </c>
      <c r="I14" s="263">
        <v>0</v>
      </c>
      <c r="J14" s="263">
        <v>0</v>
      </c>
      <c r="K14" s="264">
        <v>0</v>
      </c>
      <c r="M14" s="257"/>
      <c r="N14" s="251" t="s">
        <v>45</v>
      </c>
      <c r="O14" s="250">
        <v>0</v>
      </c>
      <c r="P14" s="250">
        <v>0</v>
      </c>
      <c r="Q14" s="163">
        <v>0</v>
      </c>
      <c r="T14" s="2" t="s">
        <v>55</v>
      </c>
      <c r="U14" s="10" t="s">
        <v>54</v>
      </c>
      <c r="V14" s="10">
        <v>0</v>
      </c>
      <c r="W14" s="10">
        <v>0</v>
      </c>
      <c r="X14" s="10">
        <v>0</v>
      </c>
      <c r="Y14" s="10">
        <v>0</v>
      </c>
      <c r="Z14" s="3">
        <v>0</v>
      </c>
      <c r="AB14" s="52" t="s">
        <v>2</v>
      </c>
      <c r="AC14" s="52"/>
      <c r="AD14" s="52"/>
      <c r="AE14" s="52"/>
    </row>
    <row r="15" spans="2:26" ht="13.5" thickBot="1">
      <c r="B15" t="s">
        <v>364</v>
      </c>
      <c r="C15">
        <v>1.15</v>
      </c>
      <c r="M15" s="172"/>
      <c r="N15" s="268" t="s">
        <v>850</v>
      </c>
      <c r="O15" s="269">
        <v>1</v>
      </c>
      <c r="P15" s="269">
        <v>4</v>
      </c>
      <c r="Q15" s="173">
        <v>6</v>
      </c>
      <c r="T15" s="2"/>
      <c r="U15" s="10"/>
      <c r="V15" s="5"/>
      <c r="W15" s="5"/>
      <c r="X15" s="5"/>
      <c r="Y15" s="5"/>
      <c r="Z15" s="5"/>
    </row>
    <row r="16" spans="2:26" ht="12.75">
      <c r="B16" t="s">
        <v>449</v>
      </c>
      <c r="C16">
        <v>0.95</v>
      </c>
      <c r="M16" s="5"/>
      <c r="T16" s="151" t="s">
        <v>852</v>
      </c>
      <c r="Z16" s="5"/>
    </row>
    <row r="17" spans="2:26" ht="12.75">
      <c r="B17" t="s">
        <v>849</v>
      </c>
      <c r="C17">
        <v>20</v>
      </c>
      <c r="M17" s="5"/>
      <c r="O17" s="5"/>
      <c r="P17" s="5"/>
      <c r="Q17" s="5"/>
      <c r="Z17" s="5"/>
    </row>
    <row r="18" spans="2:26" ht="12.75">
      <c r="B18" t="s">
        <v>851</v>
      </c>
      <c r="C18">
        <v>0.9</v>
      </c>
      <c r="O18" s="5"/>
      <c r="P18" s="5"/>
      <c r="Q18" s="5"/>
      <c r="T18" t="s">
        <v>55</v>
      </c>
      <c r="U18" s="62">
        <v>2</v>
      </c>
      <c r="Z18" s="5"/>
    </row>
    <row r="19" spans="2:26" ht="12.75">
      <c r="B19" t="s">
        <v>871</v>
      </c>
      <c r="C19">
        <v>1.05</v>
      </c>
      <c r="O19" s="5"/>
      <c r="P19" s="5"/>
      <c r="Q19" s="5"/>
      <c r="T19" t="s">
        <v>155</v>
      </c>
      <c r="U19" s="62">
        <v>3</v>
      </c>
      <c r="Z19" s="5"/>
    </row>
    <row r="20" spans="2:26" ht="12.75">
      <c r="B20" t="s">
        <v>853</v>
      </c>
      <c r="C20">
        <v>180</v>
      </c>
      <c r="O20" s="5"/>
      <c r="P20" s="5"/>
      <c r="Q20" s="5"/>
      <c r="T20" t="s">
        <v>251</v>
      </c>
      <c r="U20" s="62">
        <v>3</v>
      </c>
      <c r="Z20" s="5"/>
    </row>
    <row r="21" spans="2:26" ht="12.75">
      <c r="B21" t="s">
        <v>894</v>
      </c>
      <c r="C21">
        <v>0.96</v>
      </c>
      <c r="O21" s="5"/>
      <c r="P21" s="5"/>
      <c r="Q21" s="5"/>
      <c r="T21" t="s">
        <v>369</v>
      </c>
      <c r="U21" s="62">
        <v>4</v>
      </c>
      <c r="Z21" s="5"/>
    </row>
    <row r="22" spans="2:26" ht="12.75">
      <c r="B22" t="s">
        <v>895</v>
      </c>
      <c r="C22">
        <v>0.04</v>
      </c>
      <c r="H22" s="45"/>
      <c r="O22" s="5"/>
      <c r="P22" s="5"/>
      <c r="Q22" s="5"/>
      <c r="T22" t="s">
        <v>8</v>
      </c>
      <c r="U22" s="62">
        <v>4</v>
      </c>
      <c r="Z22" s="5"/>
    </row>
    <row r="23" spans="8:26" ht="12.75">
      <c r="H23" s="45"/>
      <c r="O23" s="5"/>
      <c r="P23" s="5"/>
      <c r="Q23" s="5"/>
      <c r="T23" t="s">
        <v>12</v>
      </c>
      <c r="U23" s="62">
        <v>5</v>
      </c>
      <c r="Z23" s="5"/>
    </row>
    <row r="24" spans="8:26" ht="12.75">
      <c r="H24" s="45"/>
      <c r="O24" s="5"/>
      <c r="P24" s="5"/>
      <c r="Q24" s="5"/>
      <c r="T24" t="s">
        <v>16</v>
      </c>
      <c r="U24" s="62">
        <v>6</v>
      </c>
      <c r="Z24" s="5"/>
    </row>
    <row r="25" spans="15:26" ht="12.75">
      <c r="O25" s="5"/>
      <c r="P25" s="5"/>
      <c r="Q25" s="5"/>
      <c r="T25" t="s">
        <v>213</v>
      </c>
      <c r="U25" s="62">
        <v>7</v>
      </c>
      <c r="Z25" s="5"/>
    </row>
    <row r="26" spans="15:26" ht="12.75">
      <c r="O26" s="5"/>
      <c r="P26" s="5"/>
      <c r="Q26" s="5"/>
      <c r="T26" t="s">
        <v>854</v>
      </c>
      <c r="U26" s="62">
        <v>4</v>
      </c>
      <c r="Z26" s="5"/>
    </row>
    <row r="27" spans="15:26" ht="12.75">
      <c r="O27" s="5"/>
      <c r="P27" s="5"/>
      <c r="Q27" s="5"/>
      <c r="Z27" s="5"/>
    </row>
    <row r="28" spans="15:26" ht="13.5" thickBot="1">
      <c r="O28" s="5"/>
      <c r="P28" s="5"/>
      <c r="Q28" s="5"/>
      <c r="Z28" s="5"/>
    </row>
    <row r="29" spans="1:26" ht="12.75">
      <c r="A29" s="152" t="s">
        <v>855</v>
      </c>
      <c r="B29" s="153" t="s">
        <v>439</v>
      </c>
      <c r="C29" s="15"/>
      <c r="D29" s="152" t="s">
        <v>448</v>
      </c>
      <c r="E29" s="153" t="s">
        <v>439</v>
      </c>
      <c r="F29" s="15"/>
      <c r="G29" s="152" t="s">
        <v>441</v>
      </c>
      <c r="H29" s="154"/>
      <c r="I29" s="15"/>
      <c r="J29" s="152" t="s">
        <v>466</v>
      </c>
      <c r="K29" s="153" t="s">
        <v>439</v>
      </c>
      <c r="L29" s="15"/>
      <c r="M29" s="155" t="s">
        <v>856</v>
      </c>
      <c r="N29" s="156"/>
      <c r="O29" s="15"/>
      <c r="P29" s="155" t="s">
        <v>857</v>
      </c>
      <c r="Q29" s="156"/>
      <c r="R29" s="15"/>
      <c r="S29" s="35"/>
      <c r="Z29" s="5"/>
    </row>
    <row r="30" spans="1:26" ht="12.75">
      <c r="A30" s="157" t="s">
        <v>858</v>
      </c>
      <c r="B30" s="158"/>
      <c r="C30" s="15"/>
      <c r="D30" s="159"/>
      <c r="E30" s="158"/>
      <c r="F30" s="15"/>
      <c r="G30" s="160"/>
      <c r="H30" s="161"/>
      <c r="I30" s="15"/>
      <c r="J30" s="157" t="s">
        <v>859</v>
      </c>
      <c r="K30" s="162"/>
      <c r="L30" s="15"/>
      <c r="M30" s="159"/>
      <c r="N30" s="163"/>
      <c r="O30" s="15"/>
      <c r="P30" s="157"/>
      <c r="Q30" s="162"/>
      <c r="R30" s="15"/>
      <c r="Z30" s="5"/>
    </row>
    <row r="31" spans="1:26" ht="12.75">
      <c r="A31" s="157"/>
      <c r="B31" s="162"/>
      <c r="C31" s="15"/>
      <c r="D31" s="157"/>
      <c r="E31" s="162"/>
      <c r="F31" s="15"/>
      <c r="G31" s="157"/>
      <c r="H31" s="161"/>
      <c r="I31" s="15"/>
      <c r="J31" s="157"/>
      <c r="K31" s="162"/>
      <c r="L31" s="15"/>
      <c r="M31" s="164"/>
      <c r="N31" s="163"/>
      <c r="O31" s="15"/>
      <c r="P31" s="164"/>
      <c r="Q31" s="163"/>
      <c r="S31" s="165"/>
      <c r="Z31" s="5"/>
    </row>
    <row r="32" spans="1:26" ht="12.75">
      <c r="A32" s="159">
        <v>-3</v>
      </c>
      <c r="B32" s="158">
        <v>0.81</v>
      </c>
      <c r="C32" s="15"/>
      <c r="D32" s="166" t="s">
        <v>134</v>
      </c>
      <c r="E32" s="167">
        <v>1.6</v>
      </c>
      <c r="F32" s="15"/>
      <c r="G32" s="166" t="s">
        <v>227</v>
      </c>
      <c r="H32" s="168">
        <v>4</v>
      </c>
      <c r="I32" s="2">
        <v>1</v>
      </c>
      <c r="J32" s="169">
        <v>30</v>
      </c>
      <c r="K32" s="158">
        <v>0.8</v>
      </c>
      <c r="L32" s="15"/>
      <c r="M32" s="159">
        <v>0</v>
      </c>
      <c r="N32" s="163">
        <v>0</v>
      </c>
      <c r="O32" s="15"/>
      <c r="P32" s="159" t="s">
        <v>2</v>
      </c>
      <c r="Q32" s="163">
        <v>0.9</v>
      </c>
      <c r="R32" s="15"/>
      <c r="S32" s="165"/>
      <c r="Z32" s="5"/>
    </row>
    <row r="33" spans="1:26" ht="12.75">
      <c r="A33" s="159">
        <v>-2</v>
      </c>
      <c r="B33" s="158">
        <v>0.87</v>
      </c>
      <c r="C33" s="15"/>
      <c r="D33" s="166" t="s">
        <v>212</v>
      </c>
      <c r="E33" s="167">
        <v>1.55</v>
      </c>
      <c r="G33" s="170" t="s">
        <v>400</v>
      </c>
      <c r="H33" s="161">
        <v>3.5</v>
      </c>
      <c r="I33">
        <v>1</v>
      </c>
      <c r="J33" s="159">
        <v>60</v>
      </c>
      <c r="K33" s="158">
        <v>0.9</v>
      </c>
      <c r="M33" s="159">
        <v>-1</v>
      </c>
      <c r="N33" s="163">
        <v>1</v>
      </c>
      <c r="P33" s="159" t="s">
        <v>21</v>
      </c>
      <c r="Q33" s="163">
        <v>1.1</v>
      </c>
      <c r="S33" s="165"/>
      <c r="Z33" s="5"/>
    </row>
    <row r="34" spans="1:26" ht="12.75">
      <c r="A34" s="159">
        <v>-1</v>
      </c>
      <c r="B34" s="158">
        <v>0.93</v>
      </c>
      <c r="D34" s="166" t="s">
        <v>15</v>
      </c>
      <c r="E34" s="167">
        <v>1.5</v>
      </c>
      <c r="G34" s="166" t="s">
        <v>134</v>
      </c>
      <c r="H34" s="161">
        <v>3</v>
      </c>
      <c r="I34">
        <v>2</v>
      </c>
      <c r="J34" s="159">
        <v>90</v>
      </c>
      <c r="K34" s="158">
        <v>0.95</v>
      </c>
      <c r="M34" s="159">
        <v>-2</v>
      </c>
      <c r="N34" s="163">
        <v>2</v>
      </c>
      <c r="P34" s="159" t="s">
        <v>109</v>
      </c>
      <c r="Q34" s="163">
        <v>0.8</v>
      </c>
      <c r="R34" t="s">
        <v>45</v>
      </c>
      <c r="S34" s="165"/>
      <c r="Z34" s="5"/>
    </row>
    <row r="35" spans="1:26" ht="12.75">
      <c r="A35" s="159">
        <v>0</v>
      </c>
      <c r="B35" s="158">
        <v>1</v>
      </c>
      <c r="C35" s="171"/>
      <c r="D35" s="166" t="s">
        <v>11</v>
      </c>
      <c r="E35" s="167">
        <v>1.4</v>
      </c>
      <c r="G35" s="166" t="s">
        <v>212</v>
      </c>
      <c r="H35" s="161">
        <v>2.5</v>
      </c>
      <c r="I35">
        <v>3</v>
      </c>
      <c r="J35" s="159">
        <v>120</v>
      </c>
      <c r="K35" s="158">
        <v>1</v>
      </c>
      <c r="M35" s="159">
        <v>-3</v>
      </c>
      <c r="N35" s="163">
        <v>3</v>
      </c>
      <c r="P35" s="159" t="s">
        <v>243</v>
      </c>
      <c r="Q35" s="163">
        <v>0.9</v>
      </c>
      <c r="R35" t="s">
        <v>307</v>
      </c>
      <c r="S35" s="14"/>
      <c r="U35" s="26"/>
      <c r="Z35" s="5"/>
    </row>
    <row r="36" spans="1:26" ht="13.5" thickBot="1">
      <c r="A36" s="159">
        <v>1</v>
      </c>
      <c r="B36" s="158">
        <v>1.07</v>
      </c>
      <c r="C36" s="171"/>
      <c r="D36" s="166" t="s">
        <v>264</v>
      </c>
      <c r="E36" s="167">
        <v>1.25</v>
      </c>
      <c r="G36" s="166" t="s">
        <v>15</v>
      </c>
      <c r="H36" s="161">
        <v>1.67</v>
      </c>
      <c r="I36">
        <v>3</v>
      </c>
      <c r="J36" s="159">
        <v>180</v>
      </c>
      <c r="K36" s="158">
        <v>1.1</v>
      </c>
      <c r="M36" s="159">
        <v>-4</v>
      </c>
      <c r="N36" s="163">
        <v>4</v>
      </c>
      <c r="P36" s="172" t="s">
        <v>96</v>
      </c>
      <c r="Q36" s="173">
        <v>1</v>
      </c>
      <c r="R36" t="s">
        <v>124</v>
      </c>
      <c r="S36" s="14"/>
      <c r="Z36" s="5"/>
    </row>
    <row r="37" spans="1:26" ht="13.5" thickBot="1">
      <c r="A37" s="159">
        <v>2</v>
      </c>
      <c r="B37" s="158">
        <v>1.15</v>
      </c>
      <c r="D37" s="170" t="s">
        <v>44</v>
      </c>
      <c r="E37" s="167">
        <v>1</v>
      </c>
      <c r="G37" s="166" t="s">
        <v>11</v>
      </c>
      <c r="H37" s="161">
        <v>1.4</v>
      </c>
      <c r="I37">
        <v>4</v>
      </c>
      <c r="J37" s="159">
        <v>210</v>
      </c>
      <c r="K37" s="158">
        <v>1.15</v>
      </c>
      <c r="M37" s="172">
        <v>-5</v>
      </c>
      <c r="N37" s="173">
        <v>5</v>
      </c>
      <c r="P37" s="5"/>
      <c r="Q37" s="5"/>
      <c r="S37" s="14"/>
      <c r="Z37" s="5"/>
    </row>
    <row r="38" spans="1:26" ht="12.75">
      <c r="A38" s="159">
        <v>3</v>
      </c>
      <c r="B38" s="158">
        <v>1.23</v>
      </c>
      <c r="D38" s="166" t="s">
        <v>845</v>
      </c>
      <c r="E38" s="167">
        <v>0.8</v>
      </c>
      <c r="G38" s="166" t="s">
        <v>3</v>
      </c>
      <c r="H38" s="161">
        <v>1</v>
      </c>
      <c r="I38">
        <v>6</v>
      </c>
      <c r="J38" s="159">
        <v>240</v>
      </c>
      <c r="K38" s="158">
        <v>1.2</v>
      </c>
      <c r="M38" s="5"/>
      <c r="N38" s="5"/>
      <c r="P38" s="5"/>
      <c r="Q38" s="5"/>
      <c r="S38" s="14"/>
      <c r="Z38" s="5"/>
    </row>
    <row r="39" spans="1:26" ht="12.75">
      <c r="A39" s="159">
        <v>4</v>
      </c>
      <c r="B39" s="158">
        <v>1.31</v>
      </c>
      <c r="D39" s="166" t="s">
        <v>238</v>
      </c>
      <c r="E39" s="167">
        <v>0.65</v>
      </c>
      <c r="G39" s="166" t="s">
        <v>146</v>
      </c>
      <c r="H39" s="161">
        <f>0.5*1.4</f>
        <v>0.7</v>
      </c>
      <c r="J39" s="159">
        <v>270</v>
      </c>
      <c r="K39" s="158">
        <v>1.25</v>
      </c>
      <c r="M39" s="5"/>
      <c r="N39" s="5"/>
      <c r="P39" s="5"/>
      <c r="Q39" s="5"/>
      <c r="Z39" s="5"/>
    </row>
    <row r="40" spans="1:26" ht="13.5" thickBot="1">
      <c r="A40" s="159">
        <v>5</v>
      </c>
      <c r="B40" s="158">
        <v>1.4</v>
      </c>
      <c r="D40" s="166" t="s">
        <v>154</v>
      </c>
      <c r="E40" s="167">
        <v>0.5</v>
      </c>
      <c r="G40" s="166" t="s">
        <v>48</v>
      </c>
      <c r="H40" s="161">
        <v>0.5</v>
      </c>
      <c r="J40" s="172">
        <v>360</v>
      </c>
      <c r="K40" s="174">
        <v>1.3</v>
      </c>
      <c r="M40" s="5"/>
      <c r="N40" s="5"/>
      <c r="P40" s="5"/>
      <c r="Q40" s="5"/>
      <c r="Z40" s="5"/>
    </row>
    <row r="41" spans="1:26" ht="12.75">
      <c r="A41" s="159">
        <v>6</v>
      </c>
      <c r="B41" s="158">
        <v>1.5</v>
      </c>
      <c r="D41" s="166" t="s">
        <v>860</v>
      </c>
      <c r="E41" s="167">
        <v>0.4</v>
      </c>
      <c r="G41" s="166" t="s">
        <v>283</v>
      </c>
      <c r="H41" s="161">
        <v>0.4</v>
      </c>
      <c r="M41" s="5"/>
      <c r="N41" s="5"/>
      <c r="P41" s="5"/>
      <c r="Q41" s="5"/>
      <c r="Z41" s="5"/>
    </row>
    <row r="42" spans="1:26" ht="12.75">
      <c r="A42" s="159">
        <v>7</v>
      </c>
      <c r="B42" s="158">
        <v>1.61</v>
      </c>
      <c r="D42" s="166" t="s">
        <v>861</v>
      </c>
      <c r="E42" s="167">
        <v>0.38</v>
      </c>
      <c r="G42" s="166" t="s">
        <v>125</v>
      </c>
      <c r="H42" s="161">
        <v>0.33</v>
      </c>
      <c r="J42" s="122">
        <v>6</v>
      </c>
      <c r="K42">
        <v>5</v>
      </c>
      <c r="M42" s="5"/>
      <c r="N42" s="5"/>
      <c r="P42" s="5"/>
      <c r="Q42" s="5"/>
      <c r="Z42" s="5"/>
    </row>
    <row r="43" spans="1:26" ht="13.5" thickBot="1">
      <c r="A43" s="172">
        <v>8</v>
      </c>
      <c r="B43" s="174">
        <v>1.72</v>
      </c>
      <c r="D43" s="166" t="s">
        <v>54</v>
      </c>
      <c r="E43" s="167">
        <v>1</v>
      </c>
      <c r="G43" s="175" t="s">
        <v>755</v>
      </c>
      <c r="H43" s="161">
        <v>0.25</v>
      </c>
      <c r="I43">
        <v>5</v>
      </c>
      <c r="J43" s="145">
        <f>J$42/$I43</f>
        <v>1.2</v>
      </c>
      <c r="K43" s="145">
        <f>K$42/$I43</f>
        <v>1</v>
      </c>
      <c r="L43" s="145"/>
      <c r="M43" s="4"/>
      <c r="N43" s="4"/>
      <c r="O43" s="145"/>
      <c r="P43" s="4">
        <f>POWER(1.07,5)</f>
        <v>1.4025517307000002</v>
      </c>
      <c r="Q43" s="4"/>
      <c r="R43" s="145"/>
      <c r="Z43" s="5"/>
    </row>
    <row r="44" spans="1:26" ht="12.75">
      <c r="A44" s="5"/>
      <c r="D44" s="159">
        <v>5</v>
      </c>
      <c r="E44" s="167">
        <v>1.5</v>
      </c>
      <c r="G44" s="175" t="s">
        <v>762</v>
      </c>
      <c r="H44" s="161">
        <v>0.22</v>
      </c>
      <c r="I44">
        <v>4</v>
      </c>
      <c r="J44" s="145">
        <f aca="true" t="shared" si="0" ref="J44:K47">J$42/$I44</f>
        <v>1.5</v>
      </c>
      <c r="K44" s="145">
        <f t="shared" si="0"/>
        <v>1.25</v>
      </c>
      <c r="L44" s="145"/>
      <c r="M44" s="4"/>
      <c r="N44" s="4"/>
      <c r="O44" s="145"/>
      <c r="P44" s="4"/>
      <c r="Q44" s="4"/>
      <c r="R44" s="145"/>
      <c r="Z44" s="5"/>
    </row>
    <row r="45" spans="1:26" ht="12.75">
      <c r="A45" s="5"/>
      <c r="D45" s="166">
        <v>10</v>
      </c>
      <c r="E45" s="167">
        <v>1.6</v>
      </c>
      <c r="G45" s="175" t="s">
        <v>108</v>
      </c>
      <c r="H45" s="161">
        <v>0.2</v>
      </c>
      <c r="I45">
        <v>3</v>
      </c>
      <c r="J45" s="145">
        <f t="shared" si="0"/>
        <v>2</v>
      </c>
      <c r="K45" s="145">
        <f t="shared" si="0"/>
        <v>1.6666666666666667</v>
      </c>
      <c r="L45" s="145"/>
      <c r="M45" s="4"/>
      <c r="N45" s="4"/>
      <c r="O45" s="145"/>
      <c r="P45" s="4"/>
      <c r="Q45" s="4"/>
      <c r="R45" s="145"/>
      <c r="Z45" s="5"/>
    </row>
    <row r="46" spans="1:26" ht="12.75">
      <c r="A46" s="5"/>
      <c r="D46" s="166">
        <v>15</v>
      </c>
      <c r="E46" s="167">
        <v>1.7</v>
      </c>
      <c r="G46" s="175" t="s">
        <v>651</v>
      </c>
      <c r="H46" s="161">
        <v>0.18</v>
      </c>
      <c r="I46">
        <v>2</v>
      </c>
      <c r="J46" s="145">
        <f t="shared" si="0"/>
        <v>3</v>
      </c>
      <c r="K46" s="145">
        <f t="shared" si="0"/>
        <v>2.5</v>
      </c>
      <c r="L46" s="145"/>
      <c r="M46" s="4"/>
      <c r="N46" s="4"/>
      <c r="O46" s="145"/>
      <c r="P46" s="4"/>
      <c r="Q46" s="4"/>
      <c r="R46" s="145"/>
      <c r="Z46" s="5"/>
    </row>
    <row r="47" spans="1:26" ht="12.75">
      <c r="A47" s="5"/>
      <c r="D47" s="166">
        <v>20</v>
      </c>
      <c r="E47" s="167">
        <v>1.8</v>
      </c>
      <c r="G47" s="175" t="s">
        <v>140</v>
      </c>
      <c r="H47" s="161">
        <v>0.17</v>
      </c>
      <c r="I47">
        <v>1</v>
      </c>
      <c r="J47" s="145">
        <f t="shared" si="0"/>
        <v>6</v>
      </c>
      <c r="K47" s="145">
        <f t="shared" si="0"/>
        <v>5</v>
      </c>
      <c r="L47" s="145"/>
      <c r="M47" s="4"/>
      <c r="N47" s="4"/>
      <c r="O47" s="145"/>
      <c r="P47" s="4"/>
      <c r="Q47" s="4"/>
      <c r="R47" s="145"/>
      <c r="Z47" s="5"/>
    </row>
    <row r="48" spans="1:26" ht="13.5" thickBot="1">
      <c r="A48" s="5"/>
      <c r="D48" s="166">
        <v>25</v>
      </c>
      <c r="E48" s="167">
        <v>1.85</v>
      </c>
      <c r="G48" s="172">
        <v>15</v>
      </c>
      <c r="H48" s="176">
        <v>0.1</v>
      </c>
      <c r="J48" s="145"/>
      <c r="K48" s="145"/>
      <c r="L48" s="145"/>
      <c r="M48" s="4"/>
      <c r="N48" s="4"/>
      <c r="O48" s="145"/>
      <c r="P48" s="4"/>
      <c r="Q48" s="4"/>
      <c r="R48" s="145"/>
      <c r="Z48" s="5"/>
    </row>
    <row r="49" spans="1:26" ht="12.75">
      <c r="A49" s="5"/>
      <c r="D49" s="166">
        <v>30</v>
      </c>
      <c r="E49" s="167">
        <v>1.9</v>
      </c>
      <c r="G49" s="5"/>
      <c r="H49" s="4"/>
      <c r="J49" s="145"/>
      <c r="K49" s="145"/>
      <c r="L49" s="145"/>
      <c r="M49" s="4"/>
      <c r="N49" s="4"/>
      <c r="O49" s="145"/>
      <c r="P49" s="4"/>
      <c r="Q49" s="4"/>
      <c r="R49" s="145"/>
      <c r="Z49" s="5"/>
    </row>
    <row r="50" spans="1:26" ht="12.75">
      <c r="A50" s="5"/>
      <c r="D50" s="166">
        <v>40</v>
      </c>
      <c r="E50" s="167">
        <v>2</v>
      </c>
      <c r="G50" s="5"/>
      <c r="H50" s="4"/>
      <c r="I50" t="s">
        <v>8</v>
      </c>
      <c r="J50" t="s">
        <v>862</v>
      </c>
      <c r="K50" t="s">
        <v>863</v>
      </c>
      <c r="L50" t="s">
        <v>863</v>
      </c>
      <c r="M50" t="s">
        <v>863</v>
      </c>
      <c r="N50" t="s">
        <v>863</v>
      </c>
      <c r="O50" t="s">
        <v>8</v>
      </c>
      <c r="P50" s="5"/>
      <c r="Q50" s="5"/>
      <c r="Z50" s="5"/>
    </row>
    <row r="51" spans="4:26" ht="13.5" thickBot="1">
      <c r="D51" s="177">
        <v>50</v>
      </c>
      <c r="E51" s="178">
        <v>2.1</v>
      </c>
      <c r="G51" t="s">
        <v>864</v>
      </c>
      <c r="H51" t="s">
        <v>817</v>
      </c>
      <c r="I51">
        <v>300000</v>
      </c>
      <c r="J51">
        <v>30000</v>
      </c>
      <c r="K51">
        <v>3000</v>
      </c>
      <c r="L51">
        <v>3000</v>
      </c>
      <c r="M51">
        <v>3000</v>
      </c>
      <c r="N51">
        <v>3000</v>
      </c>
      <c r="O51">
        <v>300000</v>
      </c>
      <c r="P51" s="5"/>
      <c r="Q51" s="5"/>
      <c r="Z51" s="5"/>
    </row>
    <row r="52" spans="7:26" ht="12.75">
      <c r="G52" t="s">
        <v>865</v>
      </c>
      <c r="H52" t="s">
        <v>817</v>
      </c>
      <c r="I52">
        <v>100</v>
      </c>
      <c r="J52">
        <v>100</v>
      </c>
      <c r="K52">
        <v>100</v>
      </c>
      <c r="L52">
        <v>50</v>
      </c>
      <c r="M52">
        <v>20</v>
      </c>
      <c r="N52">
        <v>5</v>
      </c>
      <c r="O52">
        <v>10</v>
      </c>
      <c r="P52" s="5"/>
      <c r="Q52" s="5"/>
      <c r="Z52" s="5"/>
    </row>
    <row r="53" spans="7:26" ht="12.75">
      <c r="G53" t="s">
        <v>866</v>
      </c>
      <c r="H53" t="s">
        <v>817</v>
      </c>
      <c r="I53">
        <v>50</v>
      </c>
      <c r="J53">
        <v>80</v>
      </c>
      <c r="K53">
        <v>50</v>
      </c>
      <c r="L53">
        <v>80</v>
      </c>
      <c r="M53">
        <v>80</v>
      </c>
      <c r="N53">
        <v>80</v>
      </c>
      <c r="O53">
        <v>100</v>
      </c>
      <c r="P53" s="5"/>
      <c r="Q53" s="5"/>
      <c r="Z53" s="5"/>
    </row>
    <row r="54" spans="7:26" ht="12.75">
      <c r="G54" t="s">
        <v>867</v>
      </c>
      <c r="H54" t="s">
        <v>868</v>
      </c>
      <c r="I54">
        <f aca="true" t="shared" si="1" ref="I54:O54">I52/I51</f>
        <v>0.0003333333333333333</v>
      </c>
      <c r="J54">
        <f t="shared" si="1"/>
        <v>0.0033333333333333335</v>
      </c>
      <c r="K54">
        <f t="shared" si="1"/>
        <v>0.03333333333333333</v>
      </c>
      <c r="L54">
        <f t="shared" si="1"/>
        <v>0.016666666666666666</v>
      </c>
      <c r="M54">
        <f t="shared" si="1"/>
        <v>0.006666666666666667</v>
      </c>
      <c r="N54">
        <f t="shared" si="1"/>
        <v>0.0016666666666666668</v>
      </c>
      <c r="O54">
        <f t="shared" si="1"/>
        <v>3.3333333333333335E-05</v>
      </c>
      <c r="P54" s="5"/>
      <c r="Q54" s="5"/>
      <c r="Z54" s="5"/>
    </row>
    <row r="55" spans="7:26" ht="12.75">
      <c r="G55" t="s">
        <v>869</v>
      </c>
      <c r="H55" t="s">
        <v>817</v>
      </c>
      <c r="I55">
        <f aca="true" t="shared" si="2" ref="I55:O55">I54*I53</f>
        <v>0.016666666666666666</v>
      </c>
      <c r="J55">
        <f t="shared" si="2"/>
        <v>0.26666666666666666</v>
      </c>
      <c r="K55">
        <f t="shared" si="2"/>
        <v>1.6666666666666667</v>
      </c>
      <c r="L55">
        <f t="shared" si="2"/>
        <v>1.3333333333333333</v>
      </c>
      <c r="M55">
        <f t="shared" si="2"/>
        <v>0.5333333333333333</v>
      </c>
      <c r="N55">
        <f t="shared" si="2"/>
        <v>0.13333333333333333</v>
      </c>
      <c r="O55">
        <f t="shared" si="2"/>
        <v>0.0033333333333333335</v>
      </c>
      <c r="P55" s="5"/>
      <c r="Q55" s="5"/>
      <c r="Z55" s="5"/>
    </row>
    <row r="56" spans="15:26" ht="12.75">
      <c r="O56" s="5"/>
      <c r="P56" s="5"/>
      <c r="Q56" s="5"/>
      <c r="Z56" s="5"/>
    </row>
    <row r="57" spans="15:26" ht="12.75">
      <c r="O57" s="5"/>
      <c r="P57" s="5"/>
      <c r="Q57" s="5"/>
      <c r="Z57" s="5"/>
    </row>
    <row r="58" spans="9:26" ht="12.75">
      <c r="I58" s="15" t="s">
        <v>1013</v>
      </c>
      <c r="O58" s="5"/>
      <c r="P58" s="5"/>
      <c r="Q58" s="5"/>
      <c r="Z58" s="5"/>
    </row>
    <row r="59" spans="1:26" ht="12.75">
      <c r="A59" s="179" t="s">
        <v>769</v>
      </c>
      <c r="B59" s="179" t="s">
        <v>930</v>
      </c>
      <c r="C59" s="180" t="s">
        <v>591</v>
      </c>
      <c r="D59" t="s">
        <v>938</v>
      </c>
      <c r="H59" s="17" t="s">
        <v>22</v>
      </c>
      <c r="I59" t="s">
        <v>4</v>
      </c>
      <c r="J59" t="s">
        <v>863</v>
      </c>
      <c r="K59" t="s">
        <v>262</v>
      </c>
      <c r="L59" t="s">
        <v>364</v>
      </c>
      <c r="O59" s="5"/>
      <c r="P59" s="5"/>
      <c r="Q59" s="5"/>
      <c r="Z59" s="5"/>
    </row>
    <row r="60" spans="1:26" ht="12.75">
      <c r="A60" s="181">
        <v>-1</v>
      </c>
      <c r="B60" s="181">
        <v>1</v>
      </c>
      <c r="C60" s="182" t="s">
        <v>55</v>
      </c>
      <c r="D60" s="3">
        <v>0</v>
      </c>
      <c r="G60" t="s">
        <v>54</v>
      </c>
      <c r="H60" s="33"/>
      <c r="O60" s="5"/>
      <c r="P60" s="5"/>
      <c r="Q60" s="5"/>
      <c r="Z60" s="5"/>
    </row>
    <row r="61" spans="1:26" ht="12.75">
      <c r="A61" s="181">
        <v>0</v>
      </c>
      <c r="B61" s="181">
        <v>2</v>
      </c>
      <c r="C61" s="182" t="s">
        <v>55</v>
      </c>
      <c r="D61" s="3"/>
      <c r="G61" s="28" t="s">
        <v>155</v>
      </c>
      <c r="I61" s="3" t="s">
        <v>910</v>
      </c>
      <c r="L61" t="s">
        <v>923</v>
      </c>
      <c r="O61" s="5"/>
      <c r="P61" s="5"/>
      <c r="Q61" s="5"/>
      <c r="Z61" s="5"/>
    </row>
    <row r="62" spans="1:26" ht="12.75">
      <c r="A62" s="181">
        <v>1</v>
      </c>
      <c r="B62" s="181">
        <v>3</v>
      </c>
      <c r="C62" s="182" t="s">
        <v>55</v>
      </c>
      <c r="D62" s="3"/>
      <c r="G62" t="s">
        <v>251</v>
      </c>
      <c r="I62" s="3" t="s">
        <v>736</v>
      </c>
      <c r="L62" t="s">
        <v>923</v>
      </c>
      <c r="O62" s="5"/>
      <c r="P62" s="5"/>
      <c r="Q62" s="5"/>
      <c r="Z62" s="5"/>
    </row>
    <row r="63" spans="1:26" ht="12.75">
      <c r="A63" s="181">
        <v>2</v>
      </c>
      <c r="B63" s="181">
        <v>4</v>
      </c>
      <c r="C63" s="182" t="s">
        <v>870</v>
      </c>
      <c r="D63" s="3">
        <v>0</v>
      </c>
      <c r="G63" s="28" t="s">
        <v>8</v>
      </c>
      <c r="I63" s="3" t="s">
        <v>914</v>
      </c>
      <c r="L63" t="s">
        <v>923</v>
      </c>
      <c r="O63" s="5"/>
      <c r="P63" s="5"/>
      <c r="Q63" s="5"/>
      <c r="Z63" s="5"/>
    </row>
    <row r="64" spans="1:26" ht="12.75">
      <c r="A64" s="181">
        <v>3</v>
      </c>
      <c r="B64" s="181">
        <v>5</v>
      </c>
      <c r="C64" s="182" t="s">
        <v>632</v>
      </c>
      <c r="D64" s="3">
        <v>1</v>
      </c>
      <c r="G64" s="28" t="s">
        <v>12</v>
      </c>
      <c r="I64" s="3" t="s">
        <v>915</v>
      </c>
      <c r="L64" t="s">
        <v>923</v>
      </c>
      <c r="O64" s="5"/>
      <c r="P64" s="5"/>
      <c r="Q64" s="5"/>
      <c r="Z64" s="5"/>
    </row>
    <row r="65" spans="1:26" ht="12.75">
      <c r="A65" s="181">
        <v>4</v>
      </c>
      <c r="B65" s="181">
        <v>6</v>
      </c>
      <c r="C65" s="182" t="s">
        <v>632</v>
      </c>
      <c r="D65" s="3"/>
      <c r="G65" s="28" t="s">
        <v>16</v>
      </c>
      <c r="I65" s="3" t="s">
        <v>921</v>
      </c>
      <c r="L65" t="s">
        <v>923</v>
      </c>
      <c r="O65" s="5"/>
      <c r="P65" s="5"/>
      <c r="Q65" s="5"/>
      <c r="Z65" s="5"/>
    </row>
    <row r="66" spans="1:26" ht="12.75">
      <c r="A66" s="181">
        <v>5</v>
      </c>
      <c r="B66" s="181">
        <v>6</v>
      </c>
      <c r="C66" s="182" t="s">
        <v>632</v>
      </c>
      <c r="D66" s="3"/>
      <c r="G66" s="28" t="s">
        <v>213</v>
      </c>
      <c r="I66" s="3" t="s">
        <v>920</v>
      </c>
      <c r="L66" t="s">
        <v>923</v>
      </c>
      <c r="O66" s="5"/>
      <c r="P66" s="5"/>
      <c r="Q66" s="5"/>
      <c r="Z66" s="5"/>
    </row>
    <row r="67" spans="1:26" ht="12.75">
      <c r="A67" s="181">
        <v>6</v>
      </c>
      <c r="B67" s="181">
        <v>7</v>
      </c>
      <c r="C67" s="182" t="s">
        <v>12</v>
      </c>
      <c r="D67" s="3" t="s">
        <v>939</v>
      </c>
      <c r="G67" s="28" t="s">
        <v>593</v>
      </c>
      <c r="I67" s="3" t="s">
        <v>919</v>
      </c>
      <c r="L67" t="s">
        <v>923</v>
      </c>
      <c r="O67" s="5"/>
      <c r="P67" s="5"/>
      <c r="Q67" s="5"/>
      <c r="Z67" s="5"/>
    </row>
    <row r="68" spans="1:26" ht="12.75">
      <c r="A68" s="181">
        <v>7</v>
      </c>
      <c r="B68" s="181">
        <v>7</v>
      </c>
      <c r="C68" s="182" t="s">
        <v>12</v>
      </c>
      <c r="D68" s="3"/>
      <c r="O68" s="5"/>
      <c r="P68" s="5"/>
      <c r="Q68" s="5"/>
      <c r="Z68" s="5"/>
    </row>
    <row r="69" spans="1:26" ht="12.75">
      <c r="A69" s="181">
        <v>8</v>
      </c>
      <c r="B69" s="181">
        <v>8</v>
      </c>
      <c r="C69" s="182" t="s">
        <v>12</v>
      </c>
      <c r="D69" s="3"/>
      <c r="O69" s="5"/>
      <c r="P69" s="5"/>
      <c r="Q69" s="5"/>
      <c r="Z69" s="5"/>
    </row>
    <row r="70" spans="1:26" ht="12.75">
      <c r="A70" s="181">
        <v>10</v>
      </c>
      <c r="B70" s="181">
        <v>8</v>
      </c>
      <c r="C70" s="182" t="s">
        <v>12</v>
      </c>
      <c r="D70" s="3"/>
      <c r="G70" s="213" t="s">
        <v>589</v>
      </c>
      <c r="O70" s="5"/>
      <c r="P70" s="5"/>
      <c r="Q70" s="5"/>
      <c r="Z70" s="5"/>
    </row>
    <row r="71" spans="1:26" ht="12.75">
      <c r="A71" s="181">
        <v>11</v>
      </c>
      <c r="B71" s="181">
        <v>9</v>
      </c>
      <c r="C71" s="182" t="s">
        <v>611</v>
      </c>
      <c r="D71" s="3" t="s">
        <v>940</v>
      </c>
      <c r="O71" s="5"/>
      <c r="P71" s="5"/>
      <c r="Q71" s="5"/>
      <c r="Z71" s="5"/>
    </row>
    <row r="72" spans="1:26" ht="12.75">
      <c r="A72" s="181">
        <v>13</v>
      </c>
      <c r="B72" s="181">
        <v>9</v>
      </c>
      <c r="C72" s="182" t="s">
        <v>611</v>
      </c>
      <c r="D72" s="3"/>
      <c r="G72" t="str">
        <f>Ships!BH11</f>
        <v>Earth</v>
      </c>
      <c r="H72">
        <v>1</v>
      </c>
      <c r="O72" s="5"/>
      <c r="P72" s="5"/>
      <c r="Q72" s="5"/>
      <c r="Z72" s="5"/>
    </row>
    <row r="73" spans="1:26" ht="12.75">
      <c r="A73" s="181">
        <v>14</v>
      </c>
      <c r="B73" s="181">
        <v>10</v>
      </c>
      <c r="C73" s="182" t="s">
        <v>611</v>
      </c>
      <c r="D73" s="3"/>
      <c r="G73" t="str">
        <f>Ships!BH12</f>
        <v>Minbari</v>
      </c>
      <c r="H73">
        <v>1.15</v>
      </c>
      <c r="O73" s="5"/>
      <c r="P73" s="5"/>
      <c r="Q73" s="5"/>
      <c r="Z73" s="5"/>
    </row>
    <row r="74" spans="1:26" ht="12.75">
      <c r="A74" s="181">
        <v>17</v>
      </c>
      <c r="B74" s="181">
        <v>10</v>
      </c>
      <c r="C74" s="182" t="s">
        <v>611</v>
      </c>
      <c r="D74" s="3"/>
      <c r="G74" t="str">
        <f>Ships!BH13</f>
        <v>Centauri</v>
      </c>
      <c r="H74">
        <v>1.07</v>
      </c>
      <c r="O74" s="5"/>
      <c r="P74" s="5"/>
      <c r="Q74" s="5"/>
      <c r="Z74" s="5"/>
    </row>
    <row r="75" spans="1:26" ht="12.75">
      <c r="A75" s="181">
        <v>18</v>
      </c>
      <c r="B75" s="181">
        <v>11</v>
      </c>
      <c r="C75" s="182" t="s">
        <v>611</v>
      </c>
      <c r="D75" s="3"/>
      <c r="G75" t="str">
        <f>Ships!BH14</f>
        <v>Narn</v>
      </c>
      <c r="H75">
        <v>1</v>
      </c>
      <c r="O75" s="5"/>
      <c r="P75" s="5"/>
      <c r="Q75" s="5"/>
      <c r="Z75" s="5"/>
    </row>
    <row r="76" spans="1:26" ht="12.75">
      <c r="A76" s="181">
        <v>21</v>
      </c>
      <c r="B76" s="181">
        <v>11</v>
      </c>
      <c r="C76" s="182" t="s">
        <v>611</v>
      </c>
      <c r="D76" s="3"/>
      <c r="G76" t="str">
        <f>Ships!BH15</f>
        <v>Brakiri</v>
      </c>
      <c r="H76">
        <v>1.07</v>
      </c>
      <c r="O76" s="5"/>
      <c r="P76" s="5"/>
      <c r="Q76" s="5"/>
      <c r="Z76" s="5"/>
    </row>
    <row r="77" spans="1:26" ht="12.75">
      <c r="A77" s="181">
        <v>22</v>
      </c>
      <c r="B77" s="181">
        <v>12</v>
      </c>
      <c r="C77" s="182" t="s">
        <v>469</v>
      </c>
      <c r="D77" s="3" t="s">
        <v>941</v>
      </c>
      <c r="G77" t="str">
        <f>Ships!BH16</f>
        <v>Drazi</v>
      </c>
      <c r="H77">
        <v>1.07</v>
      </c>
      <c r="O77" s="5"/>
      <c r="P77" s="5"/>
      <c r="Q77" s="5"/>
      <c r="Z77" s="5"/>
    </row>
    <row r="78" spans="1:26" ht="12.75">
      <c r="A78" s="181">
        <v>25</v>
      </c>
      <c r="B78" s="181">
        <v>12</v>
      </c>
      <c r="C78" s="182" t="s">
        <v>469</v>
      </c>
      <c r="D78" s="3"/>
      <c r="G78" t="str">
        <f>Ships!BH17</f>
        <v>Pak'ma'ra</v>
      </c>
      <c r="H78">
        <v>0.87</v>
      </c>
      <c r="O78" s="5"/>
      <c r="P78" s="5"/>
      <c r="Q78" s="5"/>
      <c r="Z78" s="5"/>
    </row>
    <row r="79" spans="1:26" ht="12.75">
      <c r="A79" s="124">
        <v>26</v>
      </c>
      <c r="B79" s="124">
        <v>13</v>
      </c>
      <c r="C79" s="182" t="s">
        <v>469</v>
      </c>
      <c r="D79" s="3"/>
      <c r="G79" t="str">
        <f>Ships!BH18</f>
        <v>Vree</v>
      </c>
      <c r="H79">
        <v>1.07</v>
      </c>
      <c r="O79" s="5"/>
      <c r="P79" s="5"/>
      <c r="Q79" s="5"/>
      <c r="Z79" s="5"/>
    </row>
    <row r="80" spans="1:26" ht="12.75">
      <c r="A80" s="181">
        <v>30</v>
      </c>
      <c r="B80" s="181">
        <v>13</v>
      </c>
      <c r="C80" s="182" t="s">
        <v>469</v>
      </c>
      <c r="D80" s="3"/>
      <c r="G80" t="str">
        <f>Ships!BH19</f>
        <v>Drakh</v>
      </c>
      <c r="H80">
        <v>1.15</v>
      </c>
      <c r="O80" s="5"/>
      <c r="P80" s="5"/>
      <c r="Q80" s="5"/>
      <c r="Z80" s="5"/>
    </row>
    <row r="81" spans="1:26" ht="12.75">
      <c r="A81" s="181">
        <v>31</v>
      </c>
      <c r="B81" s="181">
        <v>14</v>
      </c>
      <c r="C81" s="182" t="s">
        <v>469</v>
      </c>
      <c r="D81" s="3"/>
      <c r="G81" t="str">
        <f>Ships!BH20</f>
        <v>Shadow</v>
      </c>
      <c r="H81">
        <v>1.31</v>
      </c>
      <c r="O81" s="5"/>
      <c r="P81" s="5"/>
      <c r="Q81" s="5"/>
      <c r="Z81" s="5"/>
    </row>
    <row r="82" spans="1:26" ht="12.75">
      <c r="A82" s="181">
        <v>35</v>
      </c>
      <c r="B82" s="181">
        <v>14</v>
      </c>
      <c r="C82" s="182" t="s">
        <v>469</v>
      </c>
      <c r="D82" s="3"/>
      <c r="G82" t="e">
        <f>Ships!#REF!</f>
        <v>#REF!</v>
      </c>
      <c r="H82">
        <v>1.31</v>
      </c>
      <c r="O82" s="5"/>
      <c r="P82" s="5"/>
      <c r="Q82" s="5"/>
      <c r="Z82" s="5"/>
    </row>
    <row r="83" spans="1:26" ht="12.75">
      <c r="A83" s="181">
        <v>36</v>
      </c>
      <c r="B83" s="181">
        <v>15</v>
      </c>
      <c r="C83" s="182" t="s">
        <v>469</v>
      </c>
      <c r="D83" s="3"/>
      <c r="G83" t="e">
        <f>Ships!#REF!</f>
        <v>#REF!</v>
      </c>
      <c r="H83">
        <v>0.81</v>
      </c>
      <c r="O83" s="5"/>
      <c r="P83" s="5"/>
      <c r="Q83" s="5"/>
      <c r="Z83" s="5"/>
    </row>
    <row r="84" spans="1:26" ht="12.75">
      <c r="A84" s="181">
        <v>40</v>
      </c>
      <c r="B84" s="181">
        <v>15</v>
      </c>
      <c r="C84" s="182" t="s">
        <v>469</v>
      </c>
      <c r="D84" s="3"/>
      <c r="G84" t="e">
        <f>Ships!#REF!</f>
        <v>#REF!</v>
      </c>
      <c r="O84" s="5"/>
      <c r="P84" s="5"/>
      <c r="Q84" s="5"/>
      <c r="Z84" s="5"/>
    </row>
    <row r="85" spans="1:26" ht="12.75">
      <c r="A85" s="181">
        <v>41</v>
      </c>
      <c r="B85" s="124">
        <v>16</v>
      </c>
      <c r="C85" s="182" t="s">
        <v>621</v>
      </c>
      <c r="D85" s="3" t="s">
        <v>736</v>
      </c>
      <c r="G85" t="e">
        <f>Ships!#REF!</f>
        <v>#REF!</v>
      </c>
      <c r="O85" s="5"/>
      <c r="P85" s="5"/>
      <c r="Q85" s="5"/>
      <c r="Z85" s="5"/>
    </row>
    <row r="86" spans="1:26" ht="12.75">
      <c r="A86" s="181">
        <v>50</v>
      </c>
      <c r="B86" s="181">
        <v>16</v>
      </c>
      <c r="C86" s="182" t="s">
        <v>621</v>
      </c>
      <c r="D86" s="3"/>
      <c r="G86" t="e">
        <f>Ships!#REF!</f>
        <v>#REF!</v>
      </c>
      <c r="O86" s="5"/>
      <c r="P86" s="5"/>
      <c r="Q86" s="5"/>
      <c r="Z86" s="5"/>
    </row>
    <row r="87" spans="1:26" ht="12.75">
      <c r="A87" s="181">
        <v>51</v>
      </c>
      <c r="B87" s="124">
        <v>17</v>
      </c>
      <c r="C87" s="182" t="s">
        <v>621</v>
      </c>
      <c r="D87" s="3"/>
      <c r="O87" s="5"/>
      <c r="P87" s="5"/>
      <c r="Q87" s="5"/>
      <c r="Z87" s="5"/>
    </row>
    <row r="88" spans="1:26" ht="12.75">
      <c r="A88" s="181">
        <v>60</v>
      </c>
      <c r="B88" s="181">
        <v>17</v>
      </c>
      <c r="C88" s="182" t="s">
        <v>621</v>
      </c>
      <c r="D88" s="3"/>
      <c r="O88" s="5"/>
      <c r="P88" s="5"/>
      <c r="Q88" s="5"/>
      <c r="Z88" s="5"/>
    </row>
    <row r="89" spans="1:26" ht="12.75">
      <c r="A89" s="181">
        <v>61</v>
      </c>
      <c r="B89" s="124">
        <v>18</v>
      </c>
      <c r="C89" s="182" t="s">
        <v>621</v>
      </c>
      <c r="D89" s="3" t="s">
        <v>942</v>
      </c>
      <c r="O89" s="5"/>
      <c r="P89" s="5"/>
      <c r="Q89" s="5"/>
      <c r="Z89" s="5"/>
    </row>
    <row r="90" spans="1:26" ht="12.75">
      <c r="A90" s="181">
        <v>80</v>
      </c>
      <c r="B90" s="181">
        <v>18</v>
      </c>
      <c r="C90" s="182" t="s">
        <v>614</v>
      </c>
      <c r="D90" s="3"/>
      <c r="O90" s="5"/>
      <c r="P90" s="5"/>
      <c r="Q90" s="5"/>
      <c r="Z90" s="5"/>
    </row>
    <row r="91" spans="1:26" ht="12.75">
      <c r="A91" s="181">
        <v>81</v>
      </c>
      <c r="B91" s="124">
        <v>19</v>
      </c>
      <c r="C91" s="182" t="s">
        <v>614</v>
      </c>
      <c r="D91" s="3"/>
      <c r="O91" s="5"/>
      <c r="P91" s="5"/>
      <c r="Q91" s="5"/>
      <c r="Z91" s="5"/>
    </row>
    <row r="92" spans="1:26" ht="12.75">
      <c r="A92" s="181">
        <v>100</v>
      </c>
      <c r="B92" s="181">
        <v>19</v>
      </c>
      <c r="C92" s="182" t="s">
        <v>614</v>
      </c>
      <c r="D92" s="3"/>
      <c r="O92" s="5"/>
      <c r="P92" s="5"/>
      <c r="Q92" s="5"/>
      <c r="Z92" s="5"/>
    </row>
    <row r="93" spans="1:26" ht="12.75">
      <c r="A93" s="181">
        <v>101</v>
      </c>
      <c r="B93" s="124">
        <v>20</v>
      </c>
      <c r="C93" s="182" t="s">
        <v>614</v>
      </c>
      <c r="D93" s="3"/>
      <c r="O93" s="5"/>
      <c r="P93" s="5"/>
      <c r="Q93" s="5"/>
      <c r="Z93" s="5"/>
    </row>
    <row r="94" spans="1:26" ht="12.75">
      <c r="A94" s="181">
        <v>120</v>
      </c>
      <c r="B94" s="181">
        <v>20</v>
      </c>
      <c r="C94" s="182" t="s">
        <v>614</v>
      </c>
      <c r="D94" s="3"/>
      <c r="O94" s="5"/>
      <c r="P94" s="5"/>
      <c r="Q94" s="5"/>
      <c r="Z94" s="5"/>
    </row>
    <row r="95" spans="1:26" ht="12.75">
      <c r="A95" s="181">
        <v>121</v>
      </c>
      <c r="B95" s="124">
        <v>21</v>
      </c>
      <c r="C95" s="182" t="s">
        <v>614</v>
      </c>
      <c r="D95" s="3"/>
      <c r="O95" s="5"/>
      <c r="P95" s="5"/>
      <c r="Q95" s="5"/>
      <c r="Z95" s="5"/>
    </row>
    <row r="96" spans="1:26" ht="12.75">
      <c r="A96" s="141"/>
      <c r="B96" s="141"/>
      <c r="C96" s="141"/>
      <c r="O96" s="5"/>
      <c r="P96" s="5"/>
      <c r="Q96" s="5"/>
      <c r="Z96" s="5"/>
    </row>
    <row r="97" spans="15:26" ht="12.75">
      <c r="O97" s="5"/>
      <c r="P97" s="5"/>
      <c r="Q97" s="5"/>
      <c r="Z97" s="5"/>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Hayward</dc:creator>
  <cp:keywords/>
  <dc:description/>
  <cp:lastModifiedBy>Rob Hayward</cp:lastModifiedBy>
  <dcterms:created xsi:type="dcterms:W3CDTF">2006-10-25T19:01:05Z</dcterms:created>
  <dcterms:modified xsi:type="dcterms:W3CDTF">2007-04-29T09:03:01Z</dcterms:modified>
  <cp:category/>
  <cp:version/>
  <cp:contentType/>
  <cp:contentStatus/>
</cp:coreProperties>
</file>